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tudentsleytonac-my.sharepoint.com/personal/s2312202_leyton_ac_uk/Documents/education/2026-2027/level 3 it/inocent/unit 20/assignment 2/"/>
    </mc:Choice>
  </mc:AlternateContent>
  <xr:revisionPtr revIDLastSave="1" documentId="11_113FC46D08D220237194DB051A52FE744EAAA1BF" xr6:coauthVersionLast="47" xr6:coauthVersionMax="47" xr10:uidLastSave="{43A7CCB7-13EE-46C5-895E-F4418C83CCE0}"/>
  <bookViews>
    <workbookView xWindow="-120" yWindow="-120" windowWidth="29040" windowHeight="15720" xr2:uid="{00000000-000D-0000-FFFF-FFFF00000000}"/>
  </bookViews>
  <sheets>
    <sheet name="SmartBiz Financial Mode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1" i="1" l="1"/>
  <c r="J129" i="1"/>
  <c r="I129" i="1"/>
  <c r="C129" i="1"/>
  <c r="E129" i="1" s="1"/>
  <c r="B129" i="1"/>
  <c r="D129" i="1" s="1"/>
  <c r="F129" i="1" s="1"/>
  <c r="J128" i="1"/>
  <c r="I128" i="1"/>
  <c r="C128" i="1"/>
  <c r="B128" i="1"/>
  <c r="G128" i="1" s="1"/>
  <c r="J127" i="1"/>
  <c r="I127" i="1"/>
  <c r="C127" i="1"/>
  <c r="E127" i="1" s="1"/>
  <c r="B127" i="1"/>
  <c r="D127" i="1" s="1"/>
  <c r="F127" i="1" s="1"/>
  <c r="J126" i="1"/>
  <c r="I126" i="1"/>
  <c r="C126" i="1"/>
  <c r="B126" i="1"/>
  <c r="G126" i="1" s="1"/>
  <c r="J125" i="1"/>
  <c r="I125" i="1"/>
  <c r="C125" i="1"/>
  <c r="E125" i="1" s="1"/>
  <c r="B125" i="1"/>
  <c r="D125" i="1" s="1"/>
  <c r="F125" i="1" s="1"/>
  <c r="J124" i="1"/>
  <c r="I124" i="1"/>
  <c r="C124" i="1"/>
  <c r="B124" i="1"/>
  <c r="G124" i="1" s="1"/>
  <c r="J123" i="1"/>
  <c r="I123" i="1"/>
  <c r="C123" i="1"/>
  <c r="E123" i="1" s="1"/>
  <c r="B123" i="1"/>
  <c r="D123" i="1" s="1"/>
  <c r="J122" i="1"/>
  <c r="I122" i="1"/>
  <c r="C122" i="1"/>
  <c r="B122" i="1"/>
  <c r="G122" i="1" s="1"/>
  <c r="J121" i="1"/>
  <c r="I121" i="1"/>
  <c r="H121" i="1"/>
  <c r="C121" i="1"/>
  <c r="E121" i="1" s="1"/>
  <c r="B121" i="1"/>
  <c r="D121" i="1" s="1"/>
  <c r="F121" i="1" s="1"/>
  <c r="J120" i="1"/>
  <c r="I120" i="1"/>
  <c r="C120" i="1"/>
  <c r="B120" i="1"/>
  <c r="G120" i="1" s="1"/>
  <c r="J119" i="1"/>
  <c r="I119" i="1"/>
  <c r="C119" i="1"/>
  <c r="E119" i="1" s="1"/>
  <c r="B119" i="1"/>
  <c r="D119" i="1" s="1"/>
  <c r="J118" i="1"/>
  <c r="I118" i="1"/>
  <c r="C118" i="1"/>
  <c r="B118" i="1"/>
  <c r="G118" i="1" s="1"/>
  <c r="J112" i="1"/>
  <c r="I112" i="1"/>
  <c r="C112" i="1"/>
  <c r="B112" i="1"/>
  <c r="G112" i="1" s="1"/>
  <c r="J111" i="1"/>
  <c r="I111" i="1"/>
  <c r="C111" i="1"/>
  <c r="E111" i="1" s="1"/>
  <c r="F111" i="1" s="1"/>
  <c r="B111" i="1"/>
  <c r="D111" i="1" s="1"/>
  <c r="J110" i="1"/>
  <c r="I110" i="1"/>
  <c r="D110" i="1"/>
  <c r="C110" i="1"/>
  <c r="B110" i="1"/>
  <c r="G110" i="1" s="1"/>
  <c r="J109" i="1"/>
  <c r="I109" i="1"/>
  <c r="H109" i="1"/>
  <c r="C109" i="1"/>
  <c r="E109" i="1" s="1"/>
  <c r="B109" i="1"/>
  <c r="D109" i="1" s="1"/>
  <c r="F109" i="1" s="1"/>
  <c r="J108" i="1"/>
  <c r="I108" i="1"/>
  <c r="C108" i="1"/>
  <c r="B108" i="1"/>
  <c r="G108" i="1" s="1"/>
  <c r="J107" i="1"/>
  <c r="I107" i="1"/>
  <c r="C107" i="1"/>
  <c r="E107" i="1" s="1"/>
  <c r="B107" i="1"/>
  <c r="D107" i="1" s="1"/>
  <c r="F107" i="1" s="1"/>
  <c r="J106" i="1"/>
  <c r="I106" i="1"/>
  <c r="C106" i="1"/>
  <c r="B106" i="1"/>
  <c r="G106" i="1" s="1"/>
  <c r="J105" i="1"/>
  <c r="I105" i="1"/>
  <c r="C105" i="1"/>
  <c r="E105" i="1" s="1"/>
  <c r="B105" i="1"/>
  <c r="D105" i="1" s="1"/>
  <c r="J104" i="1"/>
  <c r="I104" i="1"/>
  <c r="C104" i="1"/>
  <c r="B104" i="1"/>
  <c r="G104" i="1" s="1"/>
  <c r="J103" i="1"/>
  <c r="I103" i="1"/>
  <c r="H103" i="1"/>
  <c r="C103" i="1"/>
  <c r="E103" i="1" s="1"/>
  <c r="B103" i="1"/>
  <c r="D103" i="1" s="1"/>
  <c r="F103" i="1" s="1"/>
  <c r="J102" i="1"/>
  <c r="I102" i="1"/>
  <c r="C102" i="1"/>
  <c r="B102" i="1"/>
  <c r="G102" i="1" s="1"/>
  <c r="J101" i="1"/>
  <c r="I101" i="1"/>
  <c r="G101" i="1"/>
  <c r="F101" i="1"/>
  <c r="C101" i="1"/>
  <c r="E101" i="1" s="1"/>
  <c r="B101" i="1"/>
  <c r="D101" i="1" s="1"/>
  <c r="J95" i="1"/>
  <c r="I95" i="1"/>
  <c r="G95" i="1"/>
  <c r="F95" i="1"/>
  <c r="C95" i="1"/>
  <c r="E95" i="1" s="1"/>
  <c r="B95" i="1"/>
  <c r="D95" i="1" s="1"/>
  <c r="J94" i="1"/>
  <c r="I94" i="1"/>
  <c r="C94" i="1"/>
  <c r="B94" i="1"/>
  <c r="G94" i="1" s="1"/>
  <c r="J93" i="1"/>
  <c r="I93" i="1"/>
  <c r="H93" i="1"/>
  <c r="C93" i="1"/>
  <c r="E93" i="1" s="1"/>
  <c r="B93" i="1"/>
  <c r="D93" i="1" s="1"/>
  <c r="J92" i="1"/>
  <c r="I92" i="1"/>
  <c r="D92" i="1"/>
  <c r="C92" i="1"/>
  <c r="B92" i="1"/>
  <c r="G92" i="1" s="1"/>
  <c r="J91" i="1"/>
  <c r="I91" i="1"/>
  <c r="H91" i="1"/>
  <c r="C91" i="1"/>
  <c r="E91" i="1" s="1"/>
  <c r="B91" i="1"/>
  <c r="D91" i="1" s="1"/>
  <c r="F91" i="1" s="1"/>
  <c r="J90" i="1"/>
  <c r="I90" i="1"/>
  <c r="C90" i="1"/>
  <c r="B90" i="1"/>
  <c r="G90" i="1" s="1"/>
  <c r="J89" i="1"/>
  <c r="I89" i="1"/>
  <c r="C89" i="1"/>
  <c r="E89" i="1" s="1"/>
  <c r="B89" i="1"/>
  <c r="D89" i="1" s="1"/>
  <c r="F89" i="1" s="1"/>
  <c r="J88" i="1"/>
  <c r="I88" i="1"/>
  <c r="C88" i="1"/>
  <c r="B88" i="1"/>
  <c r="G88" i="1" s="1"/>
  <c r="J87" i="1"/>
  <c r="I87" i="1"/>
  <c r="C87" i="1"/>
  <c r="E87" i="1" s="1"/>
  <c r="B87" i="1"/>
  <c r="D87" i="1" s="1"/>
  <c r="F87" i="1" s="1"/>
  <c r="J86" i="1"/>
  <c r="I86" i="1"/>
  <c r="C86" i="1"/>
  <c r="B86" i="1"/>
  <c r="G86" i="1" s="1"/>
  <c r="J85" i="1"/>
  <c r="I85" i="1"/>
  <c r="H85" i="1"/>
  <c r="G85" i="1"/>
  <c r="C85" i="1"/>
  <c r="E85" i="1" s="1"/>
  <c r="B85" i="1"/>
  <c r="D85" i="1" s="1"/>
  <c r="F85" i="1" s="1"/>
  <c r="J84" i="1"/>
  <c r="I84" i="1"/>
  <c r="C84" i="1"/>
  <c r="B84" i="1"/>
  <c r="G84" i="1" s="1"/>
  <c r="J78" i="1"/>
  <c r="I78" i="1"/>
  <c r="C78" i="1"/>
  <c r="B78" i="1"/>
  <c r="G78" i="1" s="1"/>
  <c r="J77" i="1"/>
  <c r="I77" i="1"/>
  <c r="C77" i="1"/>
  <c r="E77" i="1" s="1"/>
  <c r="B77" i="1"/>
  <c r="D77" i="1" s="1"/>
  <c r="J76" i="1"/>
  <c r="I76" i="1"/>
  <c r="D76" i="1"/>
  <c r="C76" i="1"/>
  <c r="B76" i="1"/>
  <c r="G76" i="1" s="1"/>
  <c r="J75" i="1"/>
  <c r="I75" i="1"/>
  <c r="H75" i="1"/>
  <c r="C75" i="1"/>
  <c r="E75" i="1" s="1"/>
  <c r="B75" i="1"/>
  <c r="D75" i="1" s="1"/>
  <c r="F75" i="1" s="1"/>
  <c r="J74" i="1"/>
  <c r="I74" i="1"/>
  <c r="C74" i="1"/>
  <c r="B74" i="1"/>
  <c r="G74" i="1" s="1"/>
  <c r="J73" i="1"/>
  <c r="I73" i="1"/>
  <c r="C73" i="1"/>
  <c r="E73" i="1" s="1"/>
  <c r="B73" i="1"/>
  <c r="D73" i="1" s="1"/>
  <c r="F73" i="1" s="1"/>
  <c r="J72" i="1"/>
  <c r="I72" i="1"/>
  <c r="C72" i="1"/>
  <c r="B72" i="1"/>
  <c r="G72" i="1" s="1"/>
  <c r="J71" i="1"/>
  <c r="I71" i="1"/>
  <c r="C71" i="1"/>
  <c r="E71" i="1" s="1"/>
  <c r="B71" i="1"/>
  <c r="D71" i="1" s="1"/>
  <c r="J70" i="1"/>
  <c r="I70" i="1"/>
  <c r="C70" i="1"/>
  <c r="B70" i="1"/>
  <c r="G70" i="1" s="1"/>
  <c r="J69" i="1"/>
  <c r="I69" i="1"/>
  <c r="H69" i="1"/>
  <c r="G69" i="1"/>
  <c r="C69" i="1"/>
  <c r="E69" i="1" s="1"/>
  <c r="B69" i="1"/>
  <c r="D69" i="1" s="1"/>
  <c r="F69" i="1" s="1"/>
  <c r="J68" i="1"/>
  <c r="I68" i="1"/>
  <c r="C68" i="1"/>
  <c r="B68" i="1"/>
  <c r="G68" i="1" s="1"/>
  <c r="J67" i="1"/>
  <c r="I67" i="1"/>
  <c r="G67" i="1"/>
  <c r="C67" i="1"/>
  <c r="E67" i="1" s="1"/>
  <c r="F67" i="1" s="1"/>
  <c r="B67" i="1"/>
  <c r="D67" i="1" s="1"/>
  <c r="J61" i="1"/>
  <c r="I61" i="1"/>
  <c r="C61" i="1"/>
  <c r="E61" i="1" s="1"/>
  <c r="F61" i="1" s="1"/>
  <c r="B61" i="1"/>
  <c r="D61" i="1" s="1"/>
  <c r="J60" i="1"/>
  <c r="I60" i="1"/>
  <c r="C60" i="1"/>
  <c r="B60" i="1"/>
  <c r="G60" i="1" s="1"/>
  <c r="J59" i="1"/>
  <c r="I59" i="1"/>
  <c r="H59" i="1"/>
  <c r="C59" i="1"/>
  <c r="E59" i="1" s="1"/>
  <c r="B59" i="1"/>
  <c r="D59" i="1" s="1"/>
  <c r="J58" i="1"/>
  <c r="I58" i="1"/>
  <c r="C58" i="1"/>
  <c r="B58" i="1"/>
  <c r="G58" i="1" s="1"/>
  <c r="J57" i="1"/>
  <c r="I57" i="1"/>
  <c r="H57" i="1"/>
  <c r="C57" i="1"/>
  <c r="E57" i="1" s="1"/>
  <c r="B57" i="1"/>
  <c r="G57" i="1" s="1"/>
  <c r="K57" i="1" s="1"/>
  <c r="J56" i="1"/>
  <c r="I56" i="1"/>
  <c r="C56" i="1"/>
  <c r="E56" i="1" s="1"/>
  <c r="B56" i="1"/>
  <c r="G56" i="1" s="1"/>
  <c r="J55" i="1"/>
  <c r="I55" i="1"/>
  <c r="H55" i="1"/>
  <c r="C55" i="1"/>
  <c r="E55" i="1" s="1"/>
  <c r="B55" i="1"/>
  <c r="G55" i="1" s="1"/>
  <c r="K55" i="1" s="1"/>
  <c r="J54" i="1"/>
  <c r="I54" i="1"/>
  <c r="G54" i="1"/>
  <c r="C54" i="1"/>
  <c r="E54" i="1" s="1"/>
  <c r="B54" i="1"/>
  <c r="D54" i="1" s="1"/>
  <c r="J53" i="1"/>
  <c r="I53" i="1"/>
  <c r="C53" i="1"/>
  <c r="E53" i="1" s="1"/>
  <c r="B53" i="1"/>
  <c r="G53" i="1" s="1"/>
  <c r="J52" i="1"/>
  <c r="I52" i="1"/>
  <c r="H52" i="1"/>
  <c r="D52" i="1"/>
  <c r="F52" i="1" s="1"/>
  <c r="C52" i="1"/>
  <c r="E52" i="1" s="1"/>
  <c r="B52" i="1"/>
  <c r="G52" i="1" s="1"/>
  <c r="J51" i="1"/>
  <c r="I51" i="1"/>
  <c r="G51" i="1"/>
  <c r="D51" i="1"/>
  <c r="F51" i="1" s="1"/>
  <c r="C51" i="1"/>
  <c r="E51" i="1" s="1"/>
  <c r="B51" i="1"/>
  <c r="J50" i="1"/>
  <c r="I50" i="1"/>
  <c r="C50" i="1"/>
  <c r="E50" i="1" s="1"/>
  <c r="B50" i="1"/>
  <c r="G50" i="1" s="1"/>
  <c r="F45" i="1"/>
  <c r="E45" i="1"/>
  <c r="D45" i="1"/>
  <c r="C45" i="1"/>
  <c r="B45" i="1"/>
  <c r="F44" i="1"/>
  <c r="E44" i="1"/>
  <c r="D44" i="1"/>
  <c r="C44" i="1"/>
  <c r="B44" i="1"/>
  <c r="F43" i="1"/>
  <c r="E43" i="1"/>
  <c r="D43" i="1"/>
  <c r="C43" i="1"/>
  <c r="B43" i="1"/>
  <c r="F42" i="1"/>
  <c r="E42" i="1"/>
  <c r="D42" i="1"/>
  <c r="C42" i="1"/>
  <c r="B42" i="1"/>
  <c r="F41" i="1"/>
  <c r="E41" i="1"/>
  <c r="D41" i="1"/>
  <c r="C41" i="1"/>
  <c r="B41" i="1"/>
  <c r="F40" i="1"/>
  <c r="E40" i="1"/>
  <c r="D40" i="1"/>
  <c r="C40" i="1"/>
  <c r="B40" i="1"/>
  <c r="E35" i="1"/>
  <c r="C35" i="1"/>
  <c r="B35" i="1"/>
  <c r="E34" i="1"/>
  <c r="C34" i="1"/>
  <c r="B34" i="1"/>
  <c r="D34" i="1" s="1"/>
  <c r="E33" i="1"/>
  <c r="C33" i="1"/>
  <c r="B33" i="1"/>
  <c r="E32" i="1"/>
  <c r="C32" i="1"/>
  <c r="B32" i="1"/>
  <c r="E31" i="1"/>
  <c r="C31" i="1"/>
  <c r="B31" i="1"/>
  <c r="D31" i="1" s="1"/>
  <c r="H26" i="1"/>
  <c r="G26" i="1"/>
  <c r="H25" i="1"/>
  <c r="G25" i="1"/>
  <c r="H24" i="1"/>
  <c r="G24" i="1"/>
  <c r="H23" i="1"/>
  <c r="G23" i="1"/>
  <c r="H22" i="1"/>
  <c r="H123" i="1" l="1"/>
  <c r="D33" i="1"/>
  <c r="F33" i="1" s="1"/>
  <c r="G33" i="1" s="1"/>
  <c r="H33" i="1" s="1"/>
  <c r="H51" i="1"/>
  <c r="K51" i="1" s="1"/>
  <c r="L51" i="1" s="1"/>
  <c r="D58" i="1"/>
  <c r="G61" i="1"/>
  <c r="K61" i="1" s="1"/>
  <c r="L61" i="1" s="1"/>
  <c r="H77" i="1"/>
  <c r="H87" i="1"/>
  <c r="H95" i="1"/>
  <c r="H101" i="1"/>
  <c r="H125" i="1"/>
  <c r="D35" i="1"/>
  <c r="H61" i="1"/>
  <c r="H67" i="1"/>
  <c r="K67" i="1" s="1"/>
  <c r="L67" i="1" s="1"/>
  <c r="H89" i="1"/>
  <c r="D94" i="1"/>
  <c r="I114" i="1"/>
  <c r="G103" i="1"/>
  <c r="F105" i="1"/>
  <c r="I131" i="1"/>
  <c r="H127" i="1"/>
  <c r="K95" i="1"/>
  <c r="L95" i="1" s="1"/>
  <c r="H111" i="1"/>
  <c r="I63" i="1"/>
  <c r="D57" i="1"/>
  <c r="F57" i="1" s="1"/>
  <c r="D60" i="1"/>
  <c r="I80" i="1"/>
  <c r="F71" i="1"/>
  <c r="I97" i="1"/>
  <c r="J114" i="1"/>
  <c r="J131" i="1"/>
  <c r="H129" i="1"/>
  <c r="G22" i="1"/>
  <c r="J63" i="1"/>
  <c r="K52" i="1"/>
  <c r="L52" i="1" s="1"/>
  <c r="D56" i="1"/>
  <c r="F56" i="1" s="1"/>
  <c r="L56" i="1" s="1"/>
  <c r="J80" i="1"/>
  <c r="J97" i="1"/>
  <c r="F93" i="1"/>
  <c r="C97" i="1"/>
  <c r="H105" i="1"/>
  <c r="F119" i="1"/>
  <c r="B63" i="1"/>
  <c r="F22" i="1" s="1"/>
  <c r="F77" i="1"/>
  <c r="D32" i="1"/>
  <c r="F32" i="1" s="1"/>
  <c r="G32" i="1" s="1"/>
  <c r="H32" i="1" s="1"/>
  <c r="D55" i="1"/>
  <c r="F55" i="1" s="1"/>
  <c r="L55" i="1" s="1"/>
  <c r="F59" i="1"/>
  <c r="C63" i="1"/>
  <c r="H71" i="1"/>
  <c r="H107" i="1"/>
  <c r="D112" i="1"/>
  <c r="F112" i="1" s="1"/>
  <c r="F34" i="1"/>
  <c r="G34" i="1" s="1"/>
  <c r="H34" i="1" s="1"/>
  <c r="F54" i="1"/>
  <c r="H56" i="1"/>
  <c r="K56" i="1" s="1"/>
  <c r="H73" i="1"/>
  <c r="D78" i="1"/>
  <c r="H119" i="1"/>
  <c r="F123" i="1"/>
  <c r="K106" i="1"/>
  <c r="F35" i="1"/>
  <c r="G35" i="1" s="1"/>
  <c r="H35" i="1" s="1"/>
  <c r="K60" i="1"/>
  <c r="L57" i="1"/>
  <c r="F31" i="1"/>
  <c r="G31" i="1" s="1"/>
  <c r="H31" i="1" s="1"/>
  <c r="K126" i="1"/>
  <c r="F58" i="1"/>
  <c r="E58" i="1"/>
  <c r="H58" i="1"/>
  <c r="K58" i="1" s="1"/>
  <c r="E92" i="1"/>
  <c r="F92" i="1" s="1"/>
  <c r="H92" i="1"/>
  <c r="K92" i="1" s="1"/>
  <c r="E110" i="1"/>
  <c r="F110" i="1" s="1"/>
  <c r="L110" i="1" s="1"/>
  <c r="H110" i="1"/>
  <c r="K110" i="1" s="1"/>
  <c r="E126" i="1"/>
  <c r="H126" i="1"/>
  <c r="D128" i="1"/>
  <c r="E74" i="1"/>
  <c r="H74" i="1"/>
  <c r="K74" i="1" s="1"/>
  <c r="E90" i="1"/>
  <c r="H90" i="1"/>
  <c r="K90" i="1" s="1"/>
  <c r="E108" i="1"/>
  <c r="H108" i="1"/>
  <c r="K108" i="1" s="1"/>
  <c r="E124" i="1"/>
  <c r="H124" i="1"/>
  <c r="K124" i="1" s="1"/>
  <c r="D126" i="1"/>
  <c r="F126" i="1" s="1"/>
  <c r="G129" i="1"/>
  <c r="K129" i="1" s="1"/>
  <c r="L129" i="1" s="1"/>
  <c r="D53" i="1"/>
  <c r="F53" i="1" s="1"/>
  <c r="G59" i="1"/>
  <c r="K59" i="1" s="1"/>
  <c r="L59" i="1" s="1"/>
  <c r="E72" i="1"/>
  <c r="H72" i="1"/>
  <c r="K72" i="1" s="1"/>
  <c r="D74" i="1"/>
  <c r="G77" i="1"/>
  <c r="E88" i="1"/>
  <c r="H88" i="1"/>
  <c r="K88" i="1" s="1"/>
  <c r="D90" i="1"/>
  <c r="F90" i="1" s="1"/>
  <c r="G93" i="1"/>
  <c r="K93" i="1" s="1"/>
  <c r="L93" i="1" s="1"/>
  <c r="E106" i="1"/>
  <c r="H106" i="1"/>
  <c r="D108" i="1"/>
  <c r="G111" i="1"/>
  <c r="K111" i="1" s="1"/>
  <c r="L111" i="1" s="1"/>
  <c r="E122" i="1"/>
  <c r="H122" i="1"/>
  <c r="K122" i="1" s="1"/>
  <c r="D124" i="1"/>
  <c r="G127" i="1"/>
  <c r="E120" i="1"/>
  <c r="H120" i="1"/>
  <c r="K120" i="1" s="1"/>
  <c r="D122" i="1"/>
  <c r="G125" i="1"/>
  <c r="K125" i="1" s="1"/>
  <c r="L125" i="1" s="1"/>
  <c r="E70" i="1"/>
  <c r="H70" i="1"/>
  <c r="K70" i="1" s="1"/>
  <c r="D72" i="1"/>
  <c r="G75" i="1"/>
  <c r="K75" i="1" s="1"/>
  <c r="L75" i="1" s="1"/>
  <c r="E86" i="1"/>
  <c r="H86" i="1"/>
  <c r="K86" i="1" s="1"/>
  <c r="D88" i="1"/>
  <c r="G91" i="1"/>
  <c r="K91" i="1" s="1"/>
  <c r="L91" i="1" s="1"/>
  <c r="E104" i="1"/>
  <c r="H104" i="1"/>
  <c r="K104" i="1" s="1"/>
  <c r="D106" i="1"/>
  <c r="F106" i="1" s="1"/>
  <c r="G109" i="1"/>
  <c r="K109" i="1" s="1"/>
  <c r="L109" i="1" s="1"/>
  <c r="D50" i="1"/>
  <c r="E68" i="1"/>
  <c r="H68" i="1"/>
  <c r="K68" i="1" s="1"/>
  <c r="D70" i="1"/>
  <c r="G73" i="1"/>
  <c r="K73" i="1" s="1"/>
  <c r="L73" i="1" s="1"/>
  <c r="E84" i="1"/>
  <c r="H84" i="1"/>
  <c r="D86" i="1"/>
  <c r="F86" i="1" s="1"/>
  <c r="G89" i="1"/>
  <c r="K89" i="1" s="1"/>
  <c r="L89" i="1" s="1"/>
  <c r="E102" i="1"/>
  <c r="H102" i="1"/>
  <c r="K102" i="1" s="1"/>
  <c r="D104" i="1"/>
  <c r="G107" i="1"/>
  <c r="K107" i="1" s="1"/>
  <c r="L107" i="1" s="1"/>
  <c r="E118" i="1"/>
  <c r="H118" i="1"/>
  <c r="D120" i="1"/>
  <c r="G123" i="1"/>
  <c r="K123" i="1" s="1"/>
  <c r="H53" i="1"/>
  <c r="K53" i="1" s="1"/>
  <c r="D68" i="1"/>
  <c r="F68" i="1" s="1"/>
  <c r="L68" i="1" s="1"/>
  <c r="G71" i="1"/>
  <c r="D84" i="1"/>
  <c r="G87" i="1"/>
  <c r="K87" i="1" s="1"/>
  <c r="L87" i="1" s="1"/>
  <c r="B97" i="1"/>
  <c r="F24" i="1" s="1"/>
  <c r="D102" i="1"/>
  <c r="G105" i="1"/>
  <c r="D118" i="1"/>
  <c r="G121" i="1"/>
  <c r="K121" i="1" s="1"/>
  <c r="L121" i="1" s="1"/>
  <c r="B131" i="1"/>
  <c r="F26" i="1" s="1"/>
  <c r="E76" i="1"/>
  <c r="F76" i="1" s="1"/>
  <c r="H76" i="1"/>
  <c r="K76" i="1" s="1"/>
  <c r="K69" i="1"/>
  <c r="L69" i="1" s="1"/>
  <c r="B80" i="1"/>
  <c r="F23" i="1" s="1"/>
  <c r="K85" i="1"/>
  <c r="L85" i="1" s="1"/>
  <c r="L101" i="1"/>
  <c r="K103" i="1"/>
  <c r="L103" i="1" s="1"/>
  <c r="B114" i="1"/>
  <c r="F25" i="1" s="1"/>
  <c r="G119" i="1"/>
  <c r="K119" i="1" s="1"/>
  <c r="L119" i="1" s="1"/>
  <c r="H50" i="1"/>
  <c r="K50" i="1" s="1"/>
  <c r="H54" i="1"/>
  <c r="K54" i="1" s="1"/>
  <c r="L54" i="1" s="1"/>
  <c r="E60" i="1"/>
  <c r="F60" i="1" s="1"/>
  <c r="H60" i="1"/>
  <c r="E78" i="1"/>
  <c r="F78" i="1" s="1"/>
  <c r="H78" i="1"/>
  <c r="K78" i="1" s="1"/>
  <c r="C80" i="1"/>
  <c r="E94" i="1"/>
  <c r="F94" i="1" s="1"/>
  <c r="H94" i="1"/>
  <c r="K94" i="1" s="1"/>
  <c r="K101" i="1"/>
  <c r="E112" i="1"/>
  <c r="H112" i="1"/>
  <c r="K112" i="1" s="1"/>
  <c r="C114" i="1"/>
  <c r="E128" i="1"/>
  <c r="H128" i="1"/>
  <c r="K128" i="1" s="1"/>
  <c r="L112" i="1" l="1"/>
  <c r="F88" i="1"/>
  <c r="K77" i="1"/>
  <c r="L77" i="1" s="1"/>
  <c r="L76" i="1"/>
  <c r="L60" i="1"/>
  <c r="L123" i="1"/>
  <c r="F104" i="1"/>
  <c r="L104" i="1" s="1"/>
  <c r="E114" i="1"/>
  <c r="F102" i="1"/>
  <c r="L86" i="1"/>
  <c r="K127" i="1"/>
  <c r="L127" i="1" s="1"/>
  <c r="E80" i="1"/>
  <c r="L106" i="1"/>
  <c r="F124" i="1"/>
  <c r="L124" i="1" s="1"/>
  <c r="L78" i="1"/>
  <c r="L94" i="1"/>
  <c r="K63" i="1"/>
  <c r="C22" i="1" s="1"/>
  <c r="L92" i="1"/>
  <c r="D131" i="1"/>
  <c r="F118" i="1"/>
  <c r="L102" i="1"/>
  <c r="L114" i="1" s="1"/>
  <c r="D25" i="1" s="1"/>
  <c r="L90" i="1"/>
  <c r="H80" i="1"/>
  <c r="G63" i="1"/>
  <c r="D114" i="1"/>
  <c r="L58" i="1"/>
  <c r="E63" i="1"/>
  <c r="H131" i="1"/>
  <c r="K118" i="1"/>
  <c r="K131" i="1" s="1"/>
  <c r="C26" i="1" s="1"/>
  <c r="D63" i="1"/>
  <c r="F50" i="1"/>
  <c r="F128" i="1"/>
  <c r="L128" i="1" s="1"/>
  <c r="D80" i="1"/>
  <c r="E131" i="1"/>
  <c r="F108" i="1"/>
  <c r="L108" i="1" s="1"/>
  <c r="F74" i="1"/>
  <c r="L74" i="1" s="1"/>
  <c r="K105" i="1"/>
  <c r="L105" i="1" s="1"/>
  <c r="G114" i="1"/>
  <c r="F70" i="1"/>
  <c r="L70" i="1" s="1"/>
  <c r="L80" i="1" s="1"/>
  <c r="D23" i="1" s="1"/>
  <c r="F72" i="1"/>
  <c r="L72" i="1" s="1"/>
  <c r="H63" i="1"/>
  <c r="M67" i="1"/>
  <c r="M68" i="1" s="1"/>
  <c r="M69" i="1" s="1"/>
  <c r="L53" i="1"/>
  <c r="F120" i="1"/>
  <c r="L120" i="1" s="1"/>
  <c r="L88" i="1"/>
  <c r="L126" i="1"/>
  <c r="M101" i="1"/>
  <c r="D97" i="1"/>
  <c r="F84" i="1"/>
  <c r="H97" i="1"/>
  <c r="K84" i="1"/>
  <c r="K97" i="1" s="1"/>
  <c r="C24" i="1" s="1"/>
  <c r="G131" i="1"/>
  <c r="F122" i="1"/>
  <c r="L122" i="1" s="1"/>
  <c r="K71" i="1"/>
  <c r="L71" i="1" s="1"/>
  <c r="G80" i="1"/>
  <c r="E97" i="1"/>
  <c r="G97" i="1"/>
  <c r="H114" i="1"/>
  <c r="M70" i="1" l="1"/>
  <c r="K114" i="1"/>
  <c r="C25" i="1" s="1"/>
  <c r="F131" i="1"/>
  <c r="B26" i="1" s="1"/>
  <c r="L118" i="1"/>
  <c r="F80" i="1"/>
  <c r="B23" i="1" s="1"/>
  <c r="E23" i="1" s="1"/>
  <c r="K80" i="1"/>
  <c r="C23" i="1" s="1"/>
  <c r="M71" i="1"/>
  <c r="M72" i="1" s="1"/>
  <c r="M73" i="1" s="1"/>
  <c r="M74" i="1" s="1"/>
  <c r="M75" i="1" s="1"/>
  <c r="M76" i="1" s="1"/>
  <c r="M77" i="1" s="1"/>
  <c r="M78" i="1" s="1"/>
  <c r="M80" i="1" s="1"/>
  <c r="M102" i="1"/>
  <c r="M103" i="1" s="1"/>
  <c r="M104" i="1" s="1"/>
  <c r="M105" i="1" s="1"/>
  <c r="M106" i="1" s="1"/>
  <c r="M107" i="1" s="1"/>
  <c r="M108" i="1" s="1"/>
  <c r="M109" i="1" s="1"/>
  <c r="M110" i="1" s="1"/>
  <c r="M111" i="1" s="1"/>
  <c r="M112" i="1" s="1"/>
  <c r="M114" i="1" s="1"/>
  <c r="L50" i="1"/>
  <c r="F63" i="1"/>
  <c r="B22" i="1" s="1"/>
  <c r="F114" i="1"/>
  <c r="B25" i="1" s="1"/>
  <c r="E25" i="1" s="1"/>
  <c r="L84" i="1"/>
  <c r="F97" i="1"/>
  <c r="B24" i="1" s="1"/>
  <c r="M50" i="1" l="1"/>
  <c r="M51" i="1" s="1"/>
  <c r="M52" i="1" s="1"/>
  <c r="M53" i="1" s="1"/>
  <c r="M54" i="1" s="1"/>
  <c r="M55" i="1" s="1"/>
  <c r="M56" i="1" s="1"/>
  <c r="M57" i="1" s="1"/>
  <c r="M58" i="1" s="1"/>
  <c r="M59" i="1" s="1"/>
  <c r="M60" i="1" s="1"/>
  <c r="M61" i="1" s="1"/>
  <c r="M63" i="1" s="1"/>
  <c r="L63" i="1"/>
  <c r="D22" i="1" s="1"/>
  <c r="E22" i="1" s="1"/>
  <c r="M84" i="1"/>
  <c r="M85" i="1" s="1"/>
  <c r="M86" i="1" s="1"/>
  <c r="M87" i="1" s="1"/>
  <c r="M88" i="1" s="1"/>
  <c r="M89" i="1" s="1"/>
  <c r="M90" i="1" s="1"/>
  <c r="M91" i="1" s="1"/>
  <c r="M92" i="1" s="1"/>
  <c r="M93" i="1" s="1"/>
  <c r="M94" i="1" s="1"/>
  <c r="M95" i="1" s="1"/>
  <c r="M97" i="1" s="1"/>
  <c r="L97" i="1"/>
  <c r="D24" i="1" s="1"/>
  <c r="E24" i="1" s="1"/>
  <c r="M118" i="1"/>
  <c r="M119" i="1" s="1"/>
  <c r="M120" i="1" s="1"/>
  <c r="M121" i="1" s="1"/>
  <c r="M122" i="1" s="1"/>
  <c r="M123" i="1" s="1"/>
  <c r="M124" i="1" s="1"/>
  <c r="M125" i="1" s="1"/>
  <c r="M126" i="1" s="1"/>
  <c r="M127" i="1" s="1"/>
  <c r="M128" i="1" s="1"/>
  <c r="M129" i="1" s="1"/>
  <c r="M131" i="1" s="1"/>
  <c r="L131" i="1"/>
  <c r="D26" i="1" s="1"/>
  <c r="E26" i="1" s="1"/>
</calcChain>
</file>

<file path=xl/sharedStrings.xml><?xml version="1.0" encoding="utf-8"?>
<sst xmlns="http://schemas.openxmlformats.org/spreadsheetml/2006/main" count="203" uniqueCount="86">
  <si>
    <t>SmartBiz AI, Website &amp; IT Solutions — Full 5-Scenario Financial Model</t>
  </si>
  <si>
    <t>1. Scenario Assumptions</t>
  </si>
  <si>
    <t>Input</t>
  </si>
  <si>
    <t>Worst Case</t>
  </si>
  <si>
    <t>Conservative</t>
  </si>
  <si>
    <t>Base Case</t>
  </si>
  <si>
    <t>Growth Case</t>
  </si>
  <si>
    <t>Optimistic</t>
  </si>
  <si>
    <t>Unit / Source</t>
  </si>
  <si>
    <t>Research notes used for planning</t>
  </si>
  <si>
    <t>Website selling price</t>
  </si>
  <si>
    <t>£ per website — survey-informed starter range</t>
  </si>
  <si>
    <t>Website pricing: 52.9% of the 17 survey respondents selected a budget under £300. Therefore the model tests website prices from £249 to £299.</t>
  </si>
  <si>
    <t>Starting websites sold / month</t>
  </si>
  <si>
    <t>websites</t>
  </si>
  <si>
    <t>Monthly website sales growth</t>
  </si>
  <si>
    <t>% per month</t>
  </si>
  <si>
    <t>Variable cost per website</t>
  </si>
  <si>
    <t>£ per website — planning estimate</t>
  </si>
  <si>
    <t>Monthly support pricing: 58.8% selected under £50. Therefore the model tests support prices from £39 to £49 per month.</t>
  </si>
  <si>
    <t>Monthly support price</t>
  </si>
  <si>
    <t>£ per active support customer</t>
  </si>
  <si>
    <t>Starting support customers</t>
  </si>
  <si>
    <t>customers</t>
  </si>
  <si>
    <t>New support customers / month</t>
  </si>
  <si>
    <t>Demand: Website Development was selected as the most useful service by 58.8% of respondents. This is why the financial model is website-first, with support revenue added separately.</t>
  </si>
  <si>
    <t>Marketing cost / month</t>
  </si>
  <si>
    <t>£ per month — planning budget</t>
  </si>
  <si>
    <t>Other fixed costs / month</t>
  </si>
  <si>
    <t>£ per month — software/admin/misc.</t>
  </si>
  <si>
    <t>Support variable cost</t>
  </si>
  <si>
    <t>The demand, growth and cost assumptions are planning estimates and must be replaced with actual figures after the 3–5 customer paid pilot.</t>
  </si>
  <si>
    <t>One-off setup cost</t>
  </si>
  <si>
    <t>£ in Month 1 only</t>
  </si>
  <si>
    <t>2. Five-Scenario Financial Summary</t>
  </si>
  <si>
    <t>Scenario</t>
  </si>
  <si>
    <t>Annual Revenue (£)</t>
  </si>
  <si>
    <t>Annual Costs (£)</t>
  </si>
  <si>
    <t>Annual Profit / (Loss) (£)</t>
  </si>
  <si>
    <t>Profit Margin</t>
  </si>
  <si>
    <t>Annual Website Sales</t>
  </si>
  <si>
    <t>Ending Support Customers</t>
  </si>
  <si>
    <t>Break-even Websites / Month</t>
  </si>
  <si>
    <t>3. Break-even Comparison</t>
  </si>
  <si>
    <t>Website Price (£)</t>
  </si>
  <si>
    <t>Variable Cost / Website (£)</t>
  </si>
  <si>
    <t>Contribution / Website (£)</t>
  </si>
  <si>
    <t>Monthly Fixed Costs (£)</t>
  </si>
  <si>
    <t>Exact Break-even</t>
  </si>
  <si>
    <t>Rounded Break-even</t>
  </si>
  <si>
    <t>Interpretation</t>
  </si>
  <si>
    <t>4. Base Case Price / Sales Sensitivity</t>
  </si>
  <si>
    <t>Websites Sold / Month</t>
  </si>
  <si>
    <t>5. Worst Case — 12-Month Forecast</t>
  </si>
  <si>
    <t>Month</t>
  </si>
  <si>
    <t>Websites Sold</t>
  </si>
  <si>
    <t>Active Support Customers</t>
  </si>
  <si>
    <t>Website Revenue (£)</t>
  </si>
  <si>
    <t>Support Revenue (£)</t>
  </si>
  <si>
    <t>Total Revenue (£)</t>
  </si>
  <si>
    <t>Website Variable Cost (£)</t>
  </si>
  <si>
    <t>Support Variable Cost (£)</t>
  </si>
  <si>
    <t>Marketing (£)</t>
  </si>
  <si>
    <t>Other Fixed Costs (£)</t>
  </si>
  <si>
    <t>Total Costs (£)</t>
  </si>
  <si>
    <t>Profit / (Loss) (£)</t>
  </si>
  <si>
    <t>Cumulative Profit (£)</t>
  </si>
  <si>
    <t>Month 1</t>
  </si>
  <si>
    <t>Month 2</t>
  </si>
  <si>
    <t>Month 3</t>
  </si>
  <si>
    <t>Month 4</t>
  </si>
  <si>
    <t>Month 5</t>
  </si>
  <si>
    <t>Month 6</t>
  </si>
  <si>
    <t>Month 7</t>
  </si>
  <si>
    <t>Month 8</t>
  </si>
  <si>
    <t>Month 9</t>
  </si>
  <si>
    <t>Month 10</t>
  </si>
  <si>
    <t>Month 11</t>
  </si>
  <si>
    <t>Month 12</t>
  </si>
  <si>
    <t>Annual Total</t>
  </si>
  <si>
    <t>5. Conservative — 12-Month Forecast</t>
  </si>
  <si>
    <t>5. Base Case — 12-Month Forecast</t>
  </si>
  <si>
    <t>5. Growth Case — 12-Month Forecast</t>
  </si>
  <si>
    <t>5. Optimistic — 12-Month Forecast</t>
  </si>
  <si>
    <t>6. Interpretation for the Assignment</t>
  </si>
  <si>
    <t>The five-scenario model shows that SmartBiz is sensitive to demand. The Worst Case tests whether the business can survive if only one website is sold per month, while the Conservative and Base cases represent a more cautious launch. The Growth and Optimistic cases show the effect of stronger customer demand, referrals and support-plan growth. Using several scenarios is stronger than relying on one forecast because it shows both risk and upside. The Base Case should be used as the main planning case, but the real decision to expand should only be made after a 3–5 customer paid pilot confirms actual project time, costs, marketing spend, customer satisfaction and willingness to pay.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</si>
</sst>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0.0%;[Red]\(0.0%\);\-"/>
    <numFmt numFmtId="166" formatCode="0;[Red]\(0\);\-"/>
  </numFmts>
  <fonts count="5">
    <font>
      <sz val="11"/>
      <name val="Carlito"/>
    </font>
    <font>
      <b/>
      <sz val="16"/>
      <color rgb="FFFFFFFF"/>
      <name val="Carlito"/>
    </font>
    <font>
      <b/>
      <sz val="11"/>
      <color rgb="FFFFFFFF"/>
      <name val="Carlito"/>
    </font>
    <font>
      <sz val="11"/>
      <color rgb="FF0000FF"/>
      <name val="Carlito"/>
    </font>
    <font>
      <b/>
      <sz val="11"/>
      <name val="Carlito"/>
    </font>
  </fonts>
  <fills count="11">
    <fill>
      <patternFill patternType="none"/>
    </fill>
    <fill>
      <patternFill patternType="gray125"/>
    </fill>
    <fill>
      <patternFill patternType="solid">
        <fgColor rgb="FF17365D"/>
      </patternFill>
    </fill>
    <fill>
      <patternFill patternType="solid">
        <fgColor rgb="FFFFF2CC"/>
      </patternFill>
    </fill>
    <fill>
      <patternFill patternType="solid">
        <fgColor rgb="FF4472C4"/>
      </patternFill>
    </fill>
    <fill>
      <patternFill patternType="solid">
        <fgColor rgb="FFFFFDEB"/>
      </patternFill>
    </fill>
    <fill>
      <patternFill patternType="solid">
        <fgColor rgb="FFED7D31"/>
      </patternFill>
    </fill>
    <fill>
      <patternFill patternType="solid">
        <fgColor rgb="FFFAFAFA"/>
      </patternFill>
    </fill>
    <fill>
      <patternFill patternType="solid">
        <fgColor rgb="FF70AD47"/>
      </patternFill>
    </fill>
    <fill>
      <patternFill patternType="solid">
        <fgColor rgb="FFE7E6E6"/>
      </patternFill>
    </fill>
    <fill>
      <patternFill patternType="solid">
        <fgColor rgb="FFE2F0D9"/>
      </patternFill>
    </fill>
  </fills>
  <borders count="2">
    <border>
      <left/>
      <right/>
      <top/>
      <bottom/>
      <diagonal/>
    </border>
    <border>
      <left/>
      <right/>
      <top style="thin">
        <color rgb="FF000000"/>
      </top>
      <bottom/>
      <diagonal/>
    </border>
  </borders>
  <cellStyleXfs count="1">
    <xf numFmtId="0" fontId="0" fillId="0" borderId="0"/>
  </cellStyleXfs>
  <cellXfs count="26">
    <xf numFmtId="0" fontId="0" fillId="0" borderId="0" xfId="0"/>
    <xf numFmtId="0" fontId="2" fillId="4" borderId="0" xfId="0" applyFont="1" applyFill="1" applyAlignment="1">
      <alignment horizontal="center" wrapText="1"/>
    </xf>
    <xf numFmtId="0" fontId="4" fillId="0" borderId="0" xfId="0" applyFont="1" applyAlignment="1">
      <alignment wrapText="1"/>
    </xf>
    <xf numFmtId="164" fontId="3" fillId="5" borderId="0" xfId="0" applyNumberFormat="1" applyFont="1" applyFill="1" applyAlignment="1">
      <alignment wrapText="1"/>
    </xf>
    <xf numFmtId="0" fontId="0" fillId="0" borderId="0" xfId="0" applyAlignment="1">
      <alignment wrapText="1"/>
    </xf>
    <xf numFmtId="166" fontId="3" fillId="5" borderId="0" xfId="0" applyNumberFormat="1" applyFont="1" applyFill="1" applyAlignment="1">
      <alignment wrapText="1"/>
    </xf>
    <xf numFmtId="165" fontId="3" fillId="5" borderId="0" xfId="0" applyNumberFormat="1" applyFont="1" applyFill="1" applyAlignment="1">
      <alignment wrapText="1"/>
    </xf>
    <xf numFmtId="0" fontId="2" fillId="8" borderId="0" xfId="0" applyFont="1" applyFill="1" applyAlignment="1">
      <alignment horizontal="center" wrapText="1"/>
    </xf>
    <xf numFmtId="164" fontId="0" fillId="0" borderId="0" xfId="0" applyNumberFormat="1" applyAlignment="1">
      <alignment wrapText="1"/>
    </xf>
    <xf numFmtId="165" fontId="0" fillId="0" borderId="0" xfId="0" applyNumberFormat="1" applyAlignment="1">
      <alignment wrapText="1"/>
    </xf>
    <xf numFmtId="166" fontId="0" fillId="0" borderId="0" xfId="0" applyNumberFormat="1" applyAlignment="1">
      <alignment wrapText="1"/>
    </xf>
    <xf numFmtId="0" fontId="4" fillId="3" borderId="0" xfId="0" applyFont="1" applyFill="1" applyAlignment="1">
      <alignment wrapText="1"/>
    </xf>
    <xf numFmtId="164" fontId="4" fillId="3" borderId="0" xfId="0" applyNumberFormat="1" applyFont="1" applyFill="1" applyAlignment="1">
      <alignment wrapText="1"/>
    </xf>
    <xf numFmtId="165" fontId="4" fillId="3" borderId="0" xfId="0" applyNumberFormat="1" applyFont="1" applyFill="1" applyAlignment="1">
      <alignment wrapText="1"/>
    </xf>
    <xf numFmtId="166" fontId="4" fillId="3" borderId="0" xfId="0" applyNumberFormat="1" applyFont="1" applyFill="1" applyAlignment="1">
      <alignment wrapText="1"/>
    </xf>
    <xf numFmtId="2" fontId="0" fillId="0" borderId="0" xfId="0" applyNumberFormat="1" applyAlignment="1">
      <alignment wrapText="1"/>
    </xf>
    <xf numFmtId="2" fontId="4" fillId="3" borderId="0" xfId="0" applyNumberFormat="1" applyFont="1" applyFill="1" applyAlignment="1">
      <alignment wrapText="1"/>
    </xf>
    <xf numFmtId="164" fontId="2" fillId="4" borderId="0" xfId="0" applyNumberFormat="1" applyFont="1" applyFill="1" applyAlignment="1">
      <alignment horizontal="center" wrapText="1"/>
    </xf>
    <xf numFmtId="0" fontId="4" fillId="9" borderId="1" xfId="0" applyFont="1" applyFill="1" applyBorder="1" applyAlignment="1">
      <alignment wrapText="1"/>
    </xf>
    <xf numFmtId="166" fontId="4" fillId="9" borderId="1" xfId="0" applyNumberFormat="1" applyFont="1" applyFill="1" applyBorder="1" applyAlignment="1">
      <alignment wrapText="1"/>
    </xf>
    <xf numFmtId="164" fontId="4" fillId="9" borderId="1" xfId="0" applyNumberFormat="1" applyFont="1" applyFill="1" applyBorder="1" applyAlignment="1">
      <alignment wrapText="1"/>
    </xf>
    <xf numFmtId="0" fontId="1" fillId="2" borderId="0" xfId="0" applyFont="1" applyFill="1" applyAlignment="1">
      <alignment horizontal="center" vertical="center" wrapText="1"/>
    </xf>
    <xf numFmtId="0" fontId="2" fillId="2" borderId="0" xfId="0" applyFont="1" applyFill="1" applyAlignment="1">
      <alignment wrapText="1"/>
    </xf>
    <xf numFmtId="0" fontId="2" fillId="6" borderId="0" xfId="0" applyFont="1" applyFill="1" applyAlignment="1">
      <alignment horizontal="center" wrapText="1"/>
    </xf>
    <xf numFmtId="0" fontId="0" fillId="7" borderId="0" xfId="0" applyFill="1" applyAlignment="1">
      <alignment wrapText="1"/>
    </xf>
    <xf numFmtId="0" fontId="0" fillId="10" borderId="0" xfId="0" applyFill="1" applyAlignment="1">
      <alignment vertical="top" wrapText="1"/>
    </xf>
  </cellXfs>
  <cellStyles count="1">
    <cellStyle name="Normal" xfId="0" builtinId="0"/>
  </cellStyles>
  <dxfs count="12">
    <dxf>
      <fill>
        <patternFill patternType="solid">
          <bgColor rgb="FFE2F0D9"/>
        </patternFill>
      </fill>
    </dxf>
    <dxf>
      <font>
        <color rgb="FFC00000"/>
      </font>
      <fill>
        <patternFill patternType="solid">
          <bgColor rgb="FFFCE8E6"/>
        </patternFill>
      </fill>
    </dxf>
    <dxf>
      <fill>
        <patternFill patternType="solid">
          <bgColor rgb="FFE2F0D9"/>
        </patternFill>
      </fill>
    </dxf>
    <dxf>
      <font>
        <color rgb="FFC00000"/>
      </font>
      <fill>
        <patternFill patternType="solid">
          <bgColor rgb="FFFCE8E6"/>
        </patternFill>
      </fill>
    </dxf>
    <dxf>
      <fill>
        <patternFill patternType="solid">
          <bgColor rgb="FFE2F0D9"/>
        </patternFill>
      </fill>
    </dxf>
    <dxf>
      <font>
        <color rgb="FFC00000"/>
      </font>
      <fill>
        <patternFill patternType="solid">
          <bgColor rgb="FFFCE8E6"/>
        </patternFill>
      </fill>
    </dxf>
    <dxf>
      <fill>
        <patternFill patternType="solid">
          <bgColor rgb="FFE2F0D9"/>
        </patternFill>
      </fill>
    </dxf>
    <dxf>
      <font>
        <color rgb="FFC00000"/>
      </font>
      <fill>
        <patternFill patternType="solid">
          <bgColor rgb="FFFCE8E6"/>
        </patternFill>
      </fill>
    </dxf>
    <dxf>
      <fill>
        <patternFill patternType="solid">
          <bgColor rgb="FFE2F0D9"/>
        </patternFill>
      </fill>
    </dxf>
    <dxf>
      <font>
        <color rgb="FFC00000"/>
      </font>
      <fill>
        <patternFill patternType="solid">
          <bgColor rgb="FFFCE8E6"/>
        </patternFill>
      </fill>
    </dxf>
    <dxf>
      <fill>
        <patternFill patternType="solid">
          <bgColor rgb="FFE2F0D9"/>
        </patternFill>
      </fill>
    </dxf>
    <dxf>
      <font>
        <color rgb="FFC00000"/>
      </font>
      <fill>
        <patternFill patternType="solid">
          <bgColor rgb="FFFCE8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r>
              <a:rPr lang="en-GB"/>
              <a:t>Annual Revenue, Costs and Profit by Scenario</a:t>
            </a:r>
          </a:p>
        </c:rich>
      </c:tx>
      <c:overlay val="1"/>
    </c:title>
    <c:autoTitleDeleted val="0"/>
    <c:plotArea>
      <c:layout/>
      <c:barChart>
        <c:barDir val="col"/>
        <c:grouping val="clustered"/>
        <c:varyColors val="0"/>
        <c:ser>
          <c:idx val="0"/>
          <c:order val="0"/>
          <c:tx>
            <c:v>Annual Revenue (£)</c:v>
          </c:tx>
          <c:invertIfNegative val="1"/>
          <c:cat>
            <c:strRef>
              <c:f>'SmartBiz Financial Model'!$A$22:$A$26</c:f>
              <c:strCache>
                <c:ptCount val="5"/>
                <c:pt idx="0">
                  <c:v>Worst Case</c:v>
                </c:pt>
                <c:pt idx="1">
                  <c:v>Conservative</c:v>
                </c:pt>
                <c:pt idx="2">
                  <c:v>Base Case</c:v>
                </c:pt>
                <c:pt idx="3">
                  <c:v>Growth Case</c:v>
                </c:pt>
                <c:pt idx="4">
                  <c:v>Optimistic</c:v>
                </c:pt>
              </c:strCache>
            </c:strRef>
          </c:cat>
          <c:val>
            <c:numRef>
              <c:f>'SmartBiz Financial Model'!$B$22:$B$26</c:f>
              <c:numCache>
                <c:formatCode>\£#,##0.00;[Red]\(\£#,##0.00\);\-</c:formatCode>
                <c:ptCount val="5"/>
                <c:pt idx="0">
                  <c:v>2988</c:v>
                </c:pt>
                <c:pt idx="1">
                  <c:v>9492</c:v>
                </c:pt>
                <c:pt idx="2">
                  <c:v>17073</c:v>
                </c:pt>
                <c:pt idx="3">
                  <c:v>27259</c:v>
                </c:pt>
                <c:pt idx="4">
                  <c:v>37813</c:v>
                </c:pt>
              </c:numCache>
            </c:numRef>
          </c:val>
          <c:extLst>
            <c:ext xmlns:c16="http://schemas.microsoft.com/office/drawing/2014/chart" uri="{C3380CC4-5D6E-409C-BE32-E72D297353CC}">
              <c16:uniqueId val="{00000000-B315-4AD9-B92B-D61DB497BF8F}"/>
            </c:ext>
          </c:extLst>
        </c:ser>
        <c:ser>
          <c:idx val="1"/>
          <c:order val="1"/>
          <c:tx>
            <c:v>Annual Costs (£)</c:v>
          </c:tx>
          <c:invertIfNegative val="1"/>
          <c:cat>
            <c:strRef>
              <c:f>'SmartBiz Financial Model'!$A$22:$A$26</c:f>
              <c:strCache>
                <c:ptCount val="5"/>
                <c:pt idx="0">
                  <c:v>Worst Case</c:v>
                </c:pt>
                <c:pt idx="1">
                  <c:v>Conservative</c:v>
                </c:pt>
                <c:pt idx="2">
                  <c:v>Base Case</c:v>
                </c:pt>
                <c:pt idx="3">
                  <c:v>Growth Case</c:v>
                </c:pt>
                <c:pt idx="4">
                  <c:v>Optimistic</c:v>
                </c:pt>
              </c:strCache>
            </c:strRef>
          </c:cat>
          <c:val>
            <c:numRef>
              <c:f>'SmartBiz Financial Model'!$C$22:$C$26</c:f>
              <c:numCache>
                <c:formatCode>\£#,##0.00;[Red]\(\£#,##0.00\);\-</c:formatCode>
                <c:ptCount val="5"/>
                <c:pt idx="0">
                  <c:v>4720</c:v>
                </c:pt>
                <c:pt idx="1">
                  <c:v>6940</c:v>
                </c:pt>
                <c:pt idx="2">
                  <c:v>10022</c:v>
                </c:pt>
                <c:pt idx="3">
                  <c:v>13948</c:v>
                </c:pt>
                <c:pt idx="4">
                  <c:v>18510</c:v>
                </c:pt>
              </c:numCache>
            </c:numRef>
          </c:val>
          <c:extLst>
            <c:ext xmlns:c16="http://schemas.microsoft.com/office/drawing/2014/chart" uri="{C3380CC4-5D6E-409C-BE32-E72D297353CC}">
              <c16:uniqueId val="{00000001-B315-4AD9-B92B-D61DB497BF8F}"/>
            </c:ext>
          </c:extLst>
        </c:ser>
        <c:ser>
          <c:idx val="2"/>
          <c:order val="2"/>
          <c:tx>
            <c:v>Annual Profit / (Loss) (£)</c:v>
          </c:tx>
          <c:invertIfNegative val="1"/>
          <c:cat>
            <c:strRef>
              <c:f>'SmartBiz Financial Model'!$A$22:$A$26</c:f>
              <c:strCache>
                <c:ptCount val="5"/>
                <c:pt idx="0">
                  <c:v>Worst Case</c:v>
                </c:pt>
                <c:pt idx="1">
                  <c:v>Conservative</c:v>
                </c:pt>
                <c:pt idx="2">
                  <c:v>Base Case</c:v>
                </c:pt>
                <c:pt idx="3">
                  <c:v>Growth Case</c:v>
                </c:pt>
                <c:pt idx="4">
                  <c:v>Optimistic</c:v>
                </c:pt>
              </c:strCache>
            </c:strRef>
          </c:cat>
          <c:val>
            <c:numRef>
              <c:f>'SmartBiz Financial Model'!$D$22:$D$26</c:f>
              <c:numCache>
                <c:formatCode>\£#,##0.00;[Red]\(\£#,##0.00\);\-</c:formatCode>
                <c:ptCount val="5"/>
                <c:pt idx="0">
                  <c:v>-1732</c:v>
                </c:pt>
                <c:pt idx="1">
                  <c:v>2552</c:v>
                </c:pt>
                <c:pt idx="2">
                  <c:v>7051</c:v>
                </c:pt>
                <c:pt idx="3">
                  <c:v>13311</c:v>
                </c:pt>
                <c:pt idx="4">
                  <c:v>19303</c:v>
                </c:pt>
              </c:numCache>
            </c:numRef>
          </c:val>
          <c:extLst>
            <c:ext xmlns:c16="http://schemas.microsoft.com/office/drawing/2014/chart" uri="{C3380CC4-5D6E-409C-BE32-E72D297353CC}">
              <c16:uniqueId val="{00000002-B315-4AD9-B92B-D61DB497BF8F}"/>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0;[Red]\(\£#,##0.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r>
              <a:rPr lang="en-GB"/>
              <a:t>Base Case Monthly Trend</a:t>
            </a:r>
          </a:p>
        </c:rich>
      </c:tx>
      <c:overlay val="1"/>
    </c:title>
    <c:autoTitleDeleted val="0"/>
    <c:plotArea>
      <c:layout/>
      <c:lineChart>
        <c:grouping val="standard"/>
        <c:varyColors val="1"/>
        <c:ser>
          <c:idx val="0"/>
          <c:order val="0"/>
          <c:tx>
            <c:v>Websites Sold</c:v>
          </c:tx>
          <c:marker>
            <c:symbol val="none"/>
          </c:marker>
          <c:cat>
            <c:strRef>
              <c:f>'SmartBiz Financial Model'!$A$84:$A$95</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'SmartBiz Financial Model'!$B$84:$B$95</c:f>
              <c:numCache>
                <c:formatCode>0;[Red]\(0\);\-</c:formatCode>
                <c:ptCount val="12"/>
                <c:pt idx="0">
                  <c:v>3</c:v>
                </c:pt>
                <c:pt idx="1">
                  <c:v>3</c:v>
                </c:pt>
                <c:pt idx="2">
                  <c:v>3</c:v>
                </c:pt>
                <c:pt idx="3">
                  <c:v>3</c:v>
                </c:pt>
                <c:pt idx="4">
                  <c:v>4</c:v>
                </c:pt>
                <c:pt idx="5">
                  <c:v>4</c:v>
                </c:pt>
                <c:pt idx="6">
                  <c:v>4</c:v>
                </c:pt>
                <c:pt idx="7">
                  <c:v>4</c:v>
                </c:pt>
                <c:pt idx="8">
                  <c:v>4</c:v>
                </c:pt>
                <c:pt idx="9">
                  <c:v>5</c:v>
                </c:pt>
                <c:pt idx="10">
                  <c:v>5</c:v>
                </c:pt>
                <c:pt idx="11">
                  <c:v>5</c:v>
                </c:pt>
              </c:numCache>
            </c:numRef>
          </c:val>
          <c:smooth val="1"/>
          <c:extLst>
            <c:ext xmlns:c16="http://schemas.microsoft.com/office/drawing/2014/chart" uri="{C3380CC4-5D6E-409C-BE32-E72D297353CC}">
              <c16:uniqueId val="{00000000-9D80-4122-AF01-D0F0E0EA1348}"/>
            </c:ext>
          </c:extLst>
        </c:ser>
        <c:ser>
          <c:idx val="1"/>
          <c:order val="1"/>
          <c:tx>
            <c:v>Active Support Customers</c:v>
          </c:tx>
          <c:marker>
            <c:symbol val="none"/>
          </c:marker>
          <c:cat>
            <c:strRef>
              <c:f>'SmartBiz Financial Model'!$A$84:$A$95</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'SmartBiz Financial Model'!$C$84:$C$95</c:f>
              <c:numCache>
                <c:formatCode>0;[Red]\(0\);\-</c:formatCode>
                <c:ptCount val="12"/>
                <c:pt idx="0">
                  <c:v>2</c:v>
                </c:pt>
                <c:pt idx="1">
                  <c:v>3</c:v>
                </c:pt>
                <c:pt idx="2">
                  <c:v>4</c:v>
                </c:pt>
                <c:pt idx="3">
                  <c:v>5</c:v>
                </c:pt>
                <c:pt idx="4">
                  <c:v>6</c:v>
                </c:pt>
                <c:pt idx="5">
                  <c:v>7</c:v>
                </c:pt>
                <c:pt idx="6">
                  <c:v>8</c:v>
                </c:pt>
                <c:pt idx="7">
                  <c:v>9</c:v>
                </c:pt>
                <c:pt idx="8">
                  <c:v>10</c:v>
                </c:pt>
                <c:pt idx="9">
                  <c:v>11</c:v>
                </c:pt>
                <c:pt idx="10">
                  <c:v>12</c:v>
                </c:pt>
                <c:pt idx="11">
                  <c:v>13</c:v>
                </c:pt>
              </c:numCache>
            </c:numRef>
          </c:val>
          <c:smooth val="1"/>
          <c:extLst>
            <c:ext xmlns:c16="http://schemas.microsoft.com/office/drawing/2014/chart" uri="{C3380CC4-5D6E-409C-BE32-E72D297353CC}">
              <c16:uniqueId val="{00000001-9D80-4122-AF01-D0F0E0EA1348}"/>
            </c:ext>
          </c:extLst>
        </c:ser>
        <c:ser>
          <c:idx val="2"/>
          <c:order val="2"/>
          <c:tx>
            <c:v>Website Revenue (£)</c:v>
          </c:tx>
          <c:marker>
            <c:symbol val="none"/>
          </c:marker>
          <c:cat>
            <c:strRef>
              <c:f>'SmartBiz Financial Model'!$A$84:$A$95</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'SmartBiz Financial Model'!$D$84:$D$95</c:f>
              <c:numCache>
                <c:formatCode>\£#,##0.00;[Red]\(\£#,##0.00\);\-</c:formatCode>
                <c:ptCount val="12"/>
                <c:pt idx="0">
                  <c:v>837</c:v>
                </c:pt>
                <c:pt idx="1">
                  <c:v>837</c:v>
                </c:pt>
                <c:pt idx="2">
                  <c:v>837</c:v>
                </c:pt>
                <c:pt idx="3">
                  <c:v>837</c:v>
                </c:pt>
                <c:pt idx="4">
                  <c:v>1116</c:v>
                </c:pt>
                <c:pt idx="5">
                  <c:v>1116</c:v>
                </c:pt>
                <c:pt idx="6">
                  <c:v>1116</c:v>
                </c:pt>
                <c:pt idx="7">
                  <c:v>1116</c:v>
                </c:pt>
                <c:pt idx="8">
                  <c:v>1116</c:v>
                </c:pt>
                <c:pt idx="9">
                  <c:v>1395</c:v>
                </c:pt>
                <c:pt idx="10">
                  <c:v>1395</c:v>
                </c:pt>
                <c:pt idx="11">
                  <c:v>1395</c:v>
                </c:pt>
              </c:numCache>
            </c:numRef>
          </c:val>
          <c:smooth val="1"/>
          <c:extLst>
            <c:ext xmlns:c16="http://schemas.microsoft.com/office/drawing/2014/chart" uri="{C3380CC4-5D6E-409C-BE32-E72D297353CC}">
              <c16:uniqueId val="{00000002-9D80-4122-AF01-D0F0E0EA1348}"/>
            </c:ext>
          </c:extLst>
        </c:ser>
        <c:ser>
          <c:idx val="3"/>
          <c:order val="3"/>
          <c:tx>
            <c:v>Support Revenue (£)</c:v>
          </c:tx>
          <c:marker>
            <c:symbol val="none"/>
          </c:marker>
          <c:cat>
            <c:strRef>
              <c:f>'SmartBiz Financial Model'!$A$84:$A$95</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'SmartBiz Financial Model'!$E$84:$E$95</c:f>
              <c:numCache>
                <c:formatCode>\£#,##0.00;[Red]\(\£#,##0.00\);\-</c:formatCode>
                <c:ptCount val="12"/>
                <c:pt idx="0">
                  <c:v>88</c:v>
                </c:pt>
                <c:pt idx="1">
                  <c:v>132</c:v>
                </c:pt>
                <c:pt idx="2">
                  <c:v>176</c:v>
                </c:pt>
                <c:pt idx="3">
                  <c:v>220</c:v>
                </c:pt>
                <c:pt idx="4">
                  <c:v>264</c:v>
                </c:pt>
                <c:pt idx="5">
                  <c:v>308</c:v>
                </c:pt>
                <c:pt idx="6">
                  <c:v>352</c:v>
                </c:pt>
                <c:pt idx="7">
                  <c:v>396</c:v>
                </c:pt>
                <c:pt idx="8">
                  <c:v>440</c:v>
                </c:pt>
                <c:pt idx="9">
                  <c:v>484</c:v>
                </c:pt>
                <c:pt idx="10">
                  <c:v>528</c:v>
                </c:pt>
                <c:pt idx="11">
                  <c:v>572</c:v>
                </c:pt>
              </c:numCache>
            </c:numRef>
          </c:val>
          <c:smooth val="1"/>
          <c:extLst>
            <c:ext xmlns:c16="http://schemas.microsoft.com/office/drawing/2014/chart" uri="{C3380CC4-5D6E-409C-BE32-E72D297353CC}">
              <c16:uniqueId val="{00000003-9D80-4122-AF01-D0F0E0EA1348}"/>
            </c:ext>
          </c:extLst>
        </c:ser>
        <c:ser>
          <c:idx val="4"/>
          <c:order val="4"/>
          <c:tx>
            <c:v>Total Revenue (£)</c:v>
          </c:tx>
          <c:marker>
            <c:symbol val="none"/>
          </c:marker>
          <c:cat>
            <c:strRef>
              <c:f>'SmartBiz Financial Model'!$A$84:$A$95</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'SmartBiz Financial Model'!$F$84:$F$95</c:f>
              <c:numCache>
                <c:formatCode>\£#,##0.00;[Red]\(\£#,##0.00\);\-</c:formatCode>
                <c:ptCount val="12"/>
                <c:pt idx="0">
                  <c:v>925</c:v>
                </c:pt>
                <c:pt idx="1">
                  <c:v>969</c:v>
                </c:pt>
                <c:pt idx="2">
                  <c:v>1013</c:v>
                </c:pt>
                <c:pt idx="3">
                  <c:v>1057</c:v>
                </c:pt>
                <c:pt idx="4">
                  <c:v>1380</c:v>
                </c:pt>
                <c:pt idx="5">
                  <c:v>1424</c:v>
                </c:pt>
                <c:pt idx="6">
                  <c:v>1468</c:v>
                </c:pt>
                <c:pt idx="7">
                  <c:v>1512</c:v>
                </c:pt>
                <c:pt idx="8">
                  <c:v>1556</c:v>
                </c:pt>
                <c:pt idx="9">
                  <c:v>1879</c:v>
                </c:pt>
                <c:pt idx="10">
                  <c:v>1923</c:v>
                </c:pt>
                <c:pt idx="11">
                  <c:v>1967</c:v>
                </c:pt>
              </c:numCache>
            </c:numRef>
          </c:val>
          <c:smooth val="1"/>
          <c:extLst>
            <c:ext xmlns:c16="http://schemas.microsoft.com/office/drawing/2014/chart" uri="{C3380CC4-5D6E-409C-BE32-E72D297353CC}">
              <c16:uniqueId val="{00000004-9D80-4122-AF01-D0F0E0EA1348}"/>
            </c:ext>
          </c:extLst>
        </c:ser>
        <c:ser>
          <c:idx val="5"/>
          <c:order val="5"/>
          <c:tx>
            <c:v>Website Variable Cost (£)</c:v>
          </c:tx>
          <c:marker>
            <c:symbol val="none"/>
          </c:marker>
          <c:cat>
            <c:strRef>
              <c:f>'SmartBiz Financial Model'!$A$84:$A$95</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'SmartBiz Financial Model'!$G$84:$G$95</c:f>
              <c:numCache>
                <c:formatCode>\£#,##0.00;[Red]\(\£#,##0.00\);\-</c:formatCode>
                <c:ptCount val="12"/>
                <c:pt idx="0">
                  <c:v>438</c:v>
                </c:pt>
                <c:pt idx="1">
                  <c:v>438</c:v>
                </c:pt>
                <c:pt idx="2">
                  <c:v>438</c:v>
                </c:pt>
                <c:pt idx="3">
                  <c:v>438</c:v>
                </c:pt>
                <c:pt idx="4">
                  <c:v>584</c:v>
                </c:pt>
                <c:pt idx="5">
                  <c:v>584</c:v>
                </c:pt>
                <c:pt idx="6">
                  <c:v>584</c:v>
                </c:pt>
                <c:pt idx="7">
                  <c:v>584</c:v>
                </c:pt>
                <c:pt idx="8">
                  <c:v>584</c:v>
                </c:pt>
                <c:pt idx="9">
                  <c:v>730</c:v>
                </c:pt>
                <c:pt idx="10">
                  <c:v>730</c:v>
                </c:pt>
                <c:pt idx="11">
                  <c:v>730</c:v>
                </c:pt>
              </c:numCache>
            </c:numRef>
          </c:val>
          <c:smooth val="1"/>
          <c:extLst>
            <c:ext xmlns:c16="http://schemas.microsoft.com/office/drawing/2014/chart" uri="{C3380CC4-5D6E-409C-BE32-E72D297353CC}">
              <c16:uniqueId val="{00000005-9D80-4122-AF01-D0F0E0EA1348}"/>
            </c:ext>
          </c:extLst>
        </c:ser>
        <c:ser>
          <c:idx val="6"/>
          <c:order val="6"/>
          <c:tx>
            <c:v>Support Variable Cost (£)</c:v>
          </c:tx>
          <c:marker>
            <c:symbol val="none"/>
          </c:marker>
          <c:cat>
            <c:strRef>
              <c:f>'SmartBiz Financial Model'!$A$84:$A$95</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'SmartBiz Financial Model'!$H$84:$H$95</c:f>
              <c:numCache>
                <c:formatCode>\£#,##0.00;[Red]\(\£#,##0.00\);\-</c:formatCode>
                <c:ptCount val="12"/>
                <c:pt idx="0">
                  <c:v>20</c:v>
                </c:pt>
                <c:pt idx="1">
                  <c:v>30</c:v>
                </c:pt>
                <c:pt idx="2">
                  <c:v>40</c:v>
                </c:pt>
                <c:pt idx="3">
                  <c:v>50</c:v>
                </c:pt>
                <c:pt idx="4">
                  <c:v>60</c:v>
                </c:pt>
                <c:pt idx="5">
                  <c:v>70</c:v>
                </c:pt>
                <c:pt idx="6">
                  <c:v>80</c:v>
                </c:pt>
                <c:pt idx="7">
                  <c:v>90</c:v>
                </c:pt>
                <c:pt idx="8">
                  <c:v>100</c:v>
                </c:pt>
                <c:pt idx="9">
                  <c:v>110</c:v>
                </c:pt>
                <c:pt idx="10">
                  <c:v>120</c:v>
                </c:pt>
                <c:pt idx="11">
                  <c:v>130</c:v>
                </c:pt>
              </c:numCache>
            </c:numRef>
          </c:val>
          <c:smooth val="1"/>
          <c:extLst>
            <c:ext xmlns:c16="http://schemas.microsoft.com/office/drawing/2014/chart" uri="{C3380CC4-5D6E-409C-BE32-E72D297353CC}">
              <c16:uniqueId val="{00000006-9D80-4122-AF01-D0F0E0EA1348}"/>
            </c:ext>
          </c:extLst>
        </c:ser>
        <c:ser>
          <c:idx val="7"/>
          <c:order val="7"/>
          <c:tx>
            <c:v>Marketing (£)</c:v>
          </c:tx>
          <c:marker>
            <c:symbol val="none"/>
          </c:marker>
          <c:cat>
            <c:strRef>
              <c:f>'SmartBiz Financial Model'!$A$84:$A$95</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'SmartBiz Financial Model'!$I$84:$I$95</c:f>
              <c:numCache>
                <c:formatCode>\£#,##0.00;[Red]\(\£#,##0.00\);\-</c:formatCode>
                <c:ptCount val="12"/>
                <c:pt idx="0">
                  <c:v>100</c:v>
                </c:pt>
                <c:pt idx="1">
                  <c:v>100</c:v>
                </c:pt>
                <c:pt idx="2">
                  <c:v>100</c:v>
                </c:pt>
                <c:pt idx="3">
                  <c:v>100</c:v>
                </c:pt>
                <c:pt idx="4">
                  <c:v>100</c:v>
                </c:pt>
                <c:pt idx="5">
                  <c:v>100</c:v>
                </c:pt>
                <c:pt idx="6">
                  <c:v>100</c:v>
                </c:pt>
                <c:pt idx="7">
                  <c:v>100</c:v>
                </c:pt>
                <c:pt idx="8">
                  <c:v>100</c:v>
                </c:pt>
                <c:pt idx="9">
                  <c:v>100</c:v>
                </c:pt>
                <c:pt idx="10">
                  <c:v>100</c:v>
                </c:pt>
                <c:pt idx="11">
                  <c:v>100</c:v>
                </c:pt>
              </c:numCache>
            </c:numRef>
          </c:val>
          <c:smooth val="1"/>
          <c:extLst>
            <c:ext xmlns:c16="http://schemas.microsoft.com/office/drawing/2014/chart" uri="{C3380CC4-5D6E-409C-BE32-E72D297353CC}">
              <c16:uniqueId val="{00000007-9D80-4122-AF01-D0F0E0EA1348}"/>
            </c:ext>
          </c:extLst>
        </c:ser>
        <c:ser>
          <c:idx val="8"/>
          <c:order val="8"/>
          <c:tx>
            <c:v>Other Fixed Costs (£)</c:v>
          </c:tx>
          <c:marker>
            <c:symbol val="none"/>
          </c:marker>
          <c:cat>
            <c:strRef>
              <c:f>'SmartBiz Financial Model'!$A$84:$A$95</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'SmartBiz Financial Model'!$J$84:$J$95</c:f>
              <c:numCache>
                <c:formatCode>\£#,##0.00;[Red]\(\£#,##0.00\);\-</c:formatCode>
                <c:ptCount val="12"/>
                <c:pt idx="0">
                  <c:v>80</c:v>
                </c:pt>
                <c:pt idx="1">
                  <c:v>80</c:v>
                </c:pt>
                <c:pt idx="2">
                  <c:v>80</c:v>
                </c:pt>
                <c:pt idx="3">
                  <c:v>80</c:v>
                </c:pt>
                <c:pt idx="4">
                  <c:v>80</c:v>
                </c:pt>
                <c:pt idx="5">
                  <c:v>80</c:v>
                </c:pt>
                <c:pt idx="6">
                  <c:v>80</c:v>
                </c:pt>
                <c:pt idx="7">
                  <c:v>80</c:v>
                </c:pt>
                <c:pt idx="8">
                  <c:v>80</c:v>
                </c:pt>
                <c:pt idx="9">
                  <c:v>80</c:v>
                </c:pt>
                <c:pt idx="10">
                  <c:v>80</c:v>
                </c:pt>
                <c:pt idx="11">
                  <c:v>80</c:v>
                </c:pt>
              </c:numCache>
            </c:numRef>
          </c:val>
          <c:smooth val="1"/>
          <c:extLst>
            <c:ext xmlns:c16="http://schemas.microsoft.com/office/drawing/2014/chart" uri="{C3380CC4-5D6E-409C-BE32-E72D297353CC}">
              <c16:uniqueId val="{00000008-9D80-4122-AF01-D0F0E0EA1348}"/>
            </c:ext>
          </c:extLst>
        </c:ser>
        <c:ser>
          <c:idx val="9"/>
          <c:order val="9"/>
          <c:tx>
            <c:v>Total Costs (£)</c:v>
          </c:tx>
          <c:marker>
            <c:symbol val="none"/>
          </c:marker>
          <c:cat>
            <c:strRef>
              <c:f>'SmartBiz Financial Model'!$A$84:$A$95</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'SmartBiz Financial Model'!$K$84:$K$95</c:f>
              <c:numCache>
                <c:formatCode>\£#,##0.00;[Red]\(\£#,##0.00\);\-</c:formatCode>
                <c:ptCount val="12"/>
                <c:pt idx="0">
                  <c:v>738</c:v>
                </c:pt>
                <c:pt idx="1">
                  <c:v>648</c:v>
                </c:pt>
                <c:pt idx="2">
                  <c:v>658</c:v>
                </c:pt>
                <c:pt idx="3">
                  <c:v>668</c:v>
                </c:pt>
                <c:pt idx="4">
                  <c:v>824</c:v>
                </c:pt>
                <c:pt idx="5">
                  <c:v>834</c:v>
                </c:pt>
                <c:pt idx="6">
                  <c:v>844</c:v>
                </c:pt>
                <c:pt idx="7">
                  <c:v>854</c:v>
                </c:pt>
                <c:pt idx="8">
                  <c:v>864</c:v>
                </c:pt>
                <c:pt idx="9">
                  <c:v>1020</c:v>
                </c:pt>
                <c:pt idx="10">
                  <c:v>1030</c:v>
                </c:pt>
                <c:pt idx="11">
                  <c:v>1040</c:v>
                </c:pt>
              </c:numCache>
            </c:numRef>
          </c:val>
          <c:smooth val="1"/>
          <c:extLst>
            <c:ext xmlns:c16="http://schemas.microsoft.com/office/drawing/2014/chart" uri="{C3380CC4-5D6E-409C-BE32-E72D297353CC}">
              <c16:uniqueId val="{00000009-9D80-4122-AF01-D0F0E0EA1348}"/>
            </c:ext>
          </c:extLst>
        </c:ser>
        <c:ser>
          <c:idx val="10"/>
          <c:order val="10"/>
          <c:tx>
            <c:v>Profit / (Loss) (£)</c:v>
          </c:tx>
          <c:marker>
            <c:symbol val="none"/>
          </c:marker>
          <c:cat>
            <c:strRef>
              <c:f>'SmartBiz Financial Model'!$A$84:$A$95</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'SmartBiz Financial Model'!$L$84:$L$95</c:f>
              <c:numCache>
                <c:formatCode>\£#,##0.00;[Red]\(\£#,##0.00\);\-</c:formatCode>
                <c:ptCount val="12"/>
                <c:pt idx="0">
                  <c:v>187</c:v>
                </c:pt>
                <c:pt idx="1">
                  <c:v>321</c:v>
                </c:pt>
                <c:pt idx="2">
                  <c:v>355</c:v>
                </c:pt>
                <c:pt idx="3">
                  <c:v>389</c:v>
                </c:pt>
                <c:pt idx="4">
                  <c:v>556</c:v>
                </c:pt>
                <c:pt idx="5">
                  <c:v>590</c:v>
                </c:pt>
                <c:pt idx="6">
                  <c:v>624</c:v>
                </c:pt>
                <c:pt idx="7">
                  <c:v>658</c:v>
                </c:pt>
                <c:pt idx="8">
                  <c:v>692</c:v>
                </c:pt>
                <c:pt idx="9">
                  <c:v>859</c:v>
                </c:pt>
                <c:pt idx="10">
                  <c:v>893</c:v>
                </c:pt>
                <c:pt idx="11">
                  <c:v>927</c:v>
                </c:pt>
              </c:numCache>
            </c:numRef>
          </c:val>
          <c:smooth val="1"/>
          <c:extLst>
            <c:ext xmlns:c16="http://schemas.microsoft.com/office/drawing/2014/chart" uri="{C3380CC4-5D6E-409C-BE32-E72D297353CC}">
              <c16:uniqueId val="{0000000A-9D80-4122-AF01-D0F0E0EA1348}"/>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Red]\(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0</xdr:colOff>
      <xdr:row>19</xdr:row>
      <xdr:rowOff>0</xdr:rowOff>
    </xdr:from>
    <xdr:to>
      <xdr:col>13</xdr:col>
      <xdr:colOff>0</xdr:colOff>
      <xdr:row>36</xdr:row>
      <xdr:rowOff>0</xdr:rowOff>
    </xdr:to>
    <xdr:graphicFrame macro="">
      <xdr:nvGraphicFramePr>
        <xdr:cNvPr id="2" nam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79</xdr:row>
      <xdr:rowOff>0</xdr:rowOff>
    </xdr:from>
    <xdr:to>
      <xdr:col>23</xdr:col>
      <xdr:colOff>0</xdr:colOff>
      <xdr:row>99</xdr:row>
      <xdr:rowOff>0</xdr:rowOff>
    </xdr:to>
    <xdr:graphicFrame macro="">
      <xdr:nvGraphicFramePr>
        <xdr:cNvPr id="3" name="Chart">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8"/>
  <sheetViews>
    <sheetView tabSelected="1" topLeftCell="A12" zoomScale="70" zoomScaleNormal="70" workbookViewId="0">
      <selection activeCell="Q8" sqref="Q8"/>
    </sheetView>
  </sheetViews>
  <sheetFormatPr defaultRowHeight="14.25"/>
  <cols>
    <col min="1" max="1" width="20" customWidth="1"/>
    <col min="2" max="2" width="15" customWidth="1"/>
    <col min="3" max="3" width="18" customWidth="1"/>
    <col min="4" max="6" width="17" customWidth="1"/>
    <col min="7" max="7" width="22" customWidth="1"/>
    <col min="8" max="8" width="18" customWidth="1"/>
    <col min="9" max="9" width="16" customWidth="1"/>
    <col min="10" max="10" width="18" customWidth="1"/>
    <col min="11" max="11" width="17" customWidth="1"/>
    <col min="12" max="12" width="18" customWidth="1"/>
    <col min="13" max="13" width="19" customWidth="1"/>
  </cols>
  <sheetData>
    <row r="1" spans="1:13" ht="30" customHeight="1">
      <c r="A1" s="21" t="s">
        <v>0</v>
      </c>
      <c r="B1" s="21"/>
      <c r="C1" s="21"/>
      <c r="D1" s="21"/>
      <c r="E1" s="21"/>
      <c r="F1" s="21"/>
      <c r="G1" s="21"/>
      <c r="H1" s="21"/>
      <c r="I1" s="21"/>
      <c r="J1" s="21"/>
      <c r="K1" s="21"/>
      <c r="L1" s="21"/>
      <c r="M1" s="21"/>
    </row>
    <row r="2" spans="1:13">
      <c r="A2" s="4"/>
      <c r="B2" s="4"/>
      <c r="C2" s="4"/>
      <c r="D2" s="4"/>
      <c r="E2" s="4"/>
      <c r="F2" s="4"/>
      <c r="G2" s="4"/>
      <c r="H2" s="4"/>
      <c r="I2" s="4"/>
      <c r="J2" s="4"/>
      <c r="K2" s="4"/>
      <c r="L2" s="4"/>
      <c r="M2" s="4"/>
    </row>
    <row r="5" spans="1:13">
      <c r="A5" s="4"/>
      <c r="B5" s="4"/>
      <c r="C5" s="4"/>
      <c r="D5" s="4"/>
      <c r="E5" s="4"/>
      <c r="F5" s="4"/>
      <c r="G5" s="4"/>
      <c r="H5" s="4"/>
      <c r="I5" s="4"/>
      <c r="J5" s="4"/>
      <c r="K5" s="4"/>
      <c r="L5" s="4"/>
      <c r="M5" s="4"/>
    </row>
    <row r="6" spans="1:13" ht="15">
      <c r="A6" s="22" t="s">
        <v>1</v>
      </c>
      <c r="B6" s="22"/>
      <c r="C6" s="22"/>
      <c r="D6" s="22"/>
      <c r="E6" s="22"/>
      <c r="F6" s="22"/>
      <c r="G6" s="22"/>
      <c r="H6" s="22"/>
      <c r="I6" s="22"/>
      <c r="J6" s="22"/>
      <c r="K6" s="22"/>
      <c r="L6" s="22"/>
      <c r="M6" s="22"/>
    </row>
    <row r="7" spans="1:13" ht="15">
      <c r="A7" s="1" t="s">
        <v>2</v>
      </c>
      <c r="B7" s="1" t="s">
        <v>3</v>
      </c>
      <c r="C7" s="1" t="s">
        <v>4</v>
      </c>
      <c r="D7" s="1" t="s">
        <v>5</v>
      </c>
      <c r="E7" s="1" t="s">
        <v>6</v>
      </c>
      <c r="F7" s="1" t="s">
        <v>7</v>
      </c>
      <c r="G7" s="1" t="s">
        <v>8</v>
      </c>
      <c r="H7" s="4"/>
      <c r="I7" s="23" t="s">
        <v>9</v>
      </c>
      <c r="J7" s="23"/>
      <c r="K7" s="23"/>
      <c r="L7" s="23"/>
      <c r="M7" s="23"/>
    </row>
    <row r="8" spans="1:13" ht="29.25">
      <c r="A8" s="2" t="s">
        <v>10</v>
      </c>
      <c r="B8" s="3">
        <v>249</v>
      </c>
      <c r="C8" s="3">
        <v>259</v>
      </c>
      <c r="D8" s="3">
        <v>279</v>
      </c>
      <c r="E8" s="3">
        <v>289</v>
      </c>
      <c r="F8" s="3">
        <v>299</v>
      </c>
      <c r="G8" s="4" t="s">
        <v>11</v>
      </c>
      <c r="H8" s="4"/>
      <c r="I8" s="24" t="s">
        <v>12</v>
      </c>
      <c r="J8" s="24"/>
      <c r="K8" s="24"/>
      <c r="L8" s="24"/>
      <c r="M8" s="24"/>
    </row>
    <row r="9" spans="1:13" ht="30">
      <c r="A9" s="2" t="s">
        <v>13</v>
      </c>
      <c r="B9" s="5">
        <v>1</v>
      </c>
      <c r="C9" s="5">
        <v>2</v>
      </c>
      <c r="D9" s="5">
        <v>3</v>
      </c>
      <c r="E9" s="5">
        <v>4</v>
      </c>
      <c r="F9" s="5">
        <v>5</v>
      </c>
      <c r="G9" s="4" t="s">
        <v>14</v>
      </c>
      <c r="H9" s="4"/>
      <c r="I9" s="24"/>
      <c r="J9" s="24"/>
      <c r="K9" s="24"/>
      <c r="L9" s="24"/>
      <c r="M9" s="24"/>
    </row>
    <row r="10" spans="1:13" ht="30">
      <c r="A10" s="2" t="s">
        <v>15</v>
      </c>
      <c r="B10" s="6">
        <v>0</v>
      </c>
      <c r="C10" s="6">
        <v>0.02</v>
      </c>
      <c r="D10" s="6">
        <v>0.05</v>
      </c>
      <c r="E10" s="6">
        <v>0.06</v>
      </c>
      <c r="F10" s="6">
        <v>0.08</v>
      </c>
      <c r="G10" s="4" t="s">
        <v>16</v>
      </c>
      <c r="H10" s="4"/>
      <c r="I10" s="24"/>
      <c r="J10" s="24"/>
      <c r="K10" s="24"/>
      <c r="L10" s="24"/>
      <c r="M10" s="24"/>
    </row>
    <row r="11" spans="1:13" ht="30">
      <c r="A11" s="2" t="s">
        <v>17</v>
      </c>
      <c r="B11" s="3">
        <v>155</v>
      </c>
      <c r="C11" s="3">
        <v>150</v>
      </c>
      <c r="D11" s="3">
        <v>146</v>
      </c>
      <c r="E11" s="3">
        <v>144</v>
      </c>
      <c r="F11" s="3">
        <v>142</v>
      </c>
      <c r="G11" s="4" t="s">
        <v>18</v>
      </c>
      <c r="H11" s="4"/>
      <c r="I11" s="24" t="s">
        <v>19</v>
      </c>
      <c r="J11" s="24"/>
      <c r="K11" s="24"/>
      <c r="L11" s="24"/>
      <c r="M11" s="24"/>
    </row>
    <row r="12" spans="1:13" ht="30">
      <c r="A12" s="2" t="s">
        <v>20</v>
      </c>
      <c r="B12" s="3">
        <v>39</v>
      </c>
      <c r="C12" s="3">
        <v>42</v>
      </c>
      <c r="D12" s="3">
        <v>44</v>
      </c>
      <c r="E12" s="3">
        <v>47</v>
      </c>
      <c r="F12" s="3">
        <v>49</v>
      </c>
      <c r="G12" s="4" t="s">
        <v>21</v>
      </c>
      <c r="H12" s="4"/>
      <c r="I12" s="24"/>
      <c r="J12" s="24"/>
      <c r="K12" s="24"/>
      <c r="L12" s="24"/>
      <c r="M12" s="24"/>
    </row>
    <row r="13" spans="1:13" ht="30">
      <c r="A13" s="2" t="s">
        <v>22</v>
      </c>
      <c r="B13" s="5">
        <v>0</v>
      </c>
      <c r="C13" s="5">
        <v>1</v>
      </c>
      <c r="D13" s="5">
        <v>2</v>
      </c>
      <c r="E13" s="5">
        <v>3</v>
      </c>
      <c r="F13" s="5">
        <v>5</v>
      </c>
      <c r="G13" s="4" t="s">
        <v>23</v>
      </c>
      <c r="H13" s="4"/>
      <c r="I13" s="24"/>
      <c r="J13" s="24"/>
      <c r="K13" s="24"/>
      <c r="L13" s="24"/>
      <c r="M13" s="24"/>
    </row>
    <row r="14" spans="1:13" ht="30">
      <c r="A14" s="2" t="s">
        <v>24</v>
      </c>
      <c r="B14" s="5">
        <v>0</v>
      </c>
      <c r="C14" s="5">
        <v>1</v>
      </c>
      <c r="D14" s="5">
        <v>1</v>
      </c>
      <c r="E14" s="5">
        <v>2</v>
      </c>
      <c r="F14" s="5">
        <v>2</v>
      </c>
      <c r="G14" s="4" t="s">
        <v>23</v>
      </c>
      <c r="H14" s="4"/>
      <c r="I14" s="24" t="s">
        <v>25</v>
      </c>
      <c r="J14" s="24"/>
      <c r="K14" s="24"/>
      <c r="L14" s="24"/>
      <c r="M14" s="24"/>
    </row>
    <row r="15" spans="1:13" ht="30">
      <c r="A15" s="2" t="s">
        <v>26</v>
      </c>
      <c r="B15" s="3">
        <v>150</v>
      </c>
      <c r="C15" s="3">
        <v>125</v>
      </c>
      <c r="D15" s="3">
        <v>100</v>
      </c>
      <c r="E15" s="3">
        <v>120</v>
      </c>
      <c r="F15" s="3">
        <v>150</v>
      </c>
      <c r="G15" s="4" t="s">
        <v>27</v>
      </c>
      <c r="H15" s="4"/>
      <c r="I15" s="24"/>
      <c r="J15" s="24"/>
      <c r="K15" s="24"/>
      <c r="L15" s="24"/>
      <c r="M15" s="24"/>
    </row>
    <row r="16" spans="1:13" ht="30">
      <c r="A16" s="2" t="s">
        <v>28</v>
      </c>
      <c r="B16" s="3">
        <v>80</v>
      </c>
      <c r="C16" s="3">
        <v>80</v>
      </c>
      <c r="D16" s="3">
        <v>80</v>
      </c>
      <c r="E16" s="3">
        <v>90</v>
      </c>
      <c r="F16" s="3">
        <v>100</v>
      </c>
      <c r="G16" s="4" t="s">
        <v>29</v>
      </c>
      <c r="H16" s="4"/>
      <c r="I16" s="24"/>
      <c r="J16" s="24"/>
      <c r="K16" s="24"/>
      <c r="L16" s="24"/>
      <c r="M16" s="24"/>
    </row>
    <row r="17" spans="1:13" ht="30">
      <c r="A17" s="2" t="s">
        <v>30</v>
      </c>
      <c r="B17" s="3">
        <v>10</v>
      </c>
      <c r="C17" s="3">
        <v>10</v>
      </c>
      <c r="D17" s="3">
        <v>10</v>
      </c>
      <c r="E17" s="3">
        <v>10</v>
      </c>
      <c r="F17" s="3">
        <v>10</v>
      </c>
      <c r="G17" s="4" t="s">
        <v>21</v>
      </c>
      <c r="H17" s="4"/>
      <c r="I17" s="24" t="s">
        <v>31</v>
      </c>
      <c r="J17" s="24"/>
      <c r="K17" s="24"/>
      <c r="L17" s="24"/>
      <c r="M17" s="24"/>
    </row>
    <row r="18" spans="1:13" ht="15">
      <c r="A18" s="2" t="s">
        <v>32</v>
      </c>
      <c r="B18" s="3">
        <v>100</v>
      </c>
      <c r="C18" s="3">
        <v>100</v>
      </c>
      <c r="D18" s="3">
        <v>100</v>
      </c>
      <c r="E18" s="3">
        <v>100</v>
      </c>
      <c r="F18" s="3">
        <v>100</v>
      </c>
      <c r="G18" s="4" t="s">
        <v>33</v>
      </c>
      <c r="H18" s="4"/>
      <c r="I18" s="24"/>
      <c r="J18" s="24"/>
      <c r="K18" s="24"/>
      <c r="L18" s="24"/>
      <c r="M18" s="24"/>
    </row>
    <row r="19" spans="1:13">
      <c r="A19" s="4"/>
      <c r="B19" s="4"/>
      <c r="C19" s="4"/>
      <c r="D19" s="4"/>
      <c r="E19" s="4"/>
      <c r="F19" s="4"/>
      <c r="G19" s="4"/>
      <c r="H19" s="4"/>
      <c r="I19" s="4"/>
      <c r="J19" s="4"/>
      <c r="K19" s="4"/>
      <c r="L19" s="4"/>
      <c r="M19" s="4"/>
    </row>
    <row r="20" spans="1:13" ht="15">
      <c r="A20" s="22" t="s">
        <v>34</v>
      </c>
      <c r="B20" s="22"/>
      <c r="C20" s="22"/>
      <c r="D20" s="22"/>
      <c r="E20" s="22"/>
      <c r="F20" s="22"/>
      <c r="G20" s="22"/>
      <c r="H20" s="22"/>
      <c r="I20" s="22"/>
      <c r="J20" s="22"/>
      <c r="K20" s="22"/>
      <c r="L20" s="22"/>
      <c r="M20" s="22"/>
    </row>
    <row r="21" spans="1:13" ht="30">
      <c r="A21" s="1" t="s">
        <v>35</v>
      </c>
      <c r="B21" s="1" t="s">
        <v>36</v>
      </c>
      <c r="C21" s="1" t="s">
        <v>37</v>
      </c>
      <c r="D21" s="1" t="s">
        <v>38</v>
      </c>
      <c r="E21" s="1" t="s">
        <v>39</v>
      </c>
      <c r="F21" s="1" t="s">
        <v>40</v>
      </c>
      <c r="G21" s="1" t="s">
        <v>41</v>
      </c>
      <c r="H21" s="1" t="s">
        <v>42</v>
      </c>
      <c r="I21" s="4"/>
      <c r="J21" s="4"/>
      <c r="K21" s="4"/>
      <c r="L21" s="4"/>
      <c r="M21" s="4"/>
    </row>
    <row r="22" spans="1:13">
      <c r="A22" s="4" t="s">
        <v>3</v>
      </c>
      <c r="B22" s="8">
        <f>F63</f>
        <v>2988</v>
      </c>
      <c r="C22" s="8">
        <f>K63</f>
        <v>4720</v>
      </c>
      <c r="D22" s="8">
        <f>L63</f>
        <v>-1732</v>
      </c>
      <c r="E22" s="9">
        <f>IF(B22=0,0,D22/B22)</f>
        <v>-0.57965194109772422</v>
      </c>
      <c r="F22" s="10">
        <f>B63</f>
        <v>12</v>
      </c>
      <c r="G22" s="10">
        <f>C61</f>
        <v>0</v>
      </c>
      <c r="H22" s="10">
        <f>ROUNDUP((B$15+B$16)/(B$8-B$11),0)</f>
        <v>3</v>
      </c>
      <c r="I22" s="4"/>
      <c r="J22" s="4"/>
      <c r="K22" s="4"/>
      <c r="L22" s="4"/>
      <c r="M22" s="4"/>
    </row>
    <row r="23" spans="1:13">
      <c r="A23" s="4" t="s">
        <v>4</v>
      </c>
      <c r="B23" s="8">
        <f>F80</f>
        <v>9492</v>
      </c>
      <c r="C23" s="8">
        <f>K80</f>
        <v>6940</v>
      </c>
      <c r="D23" s="8">
        <f>L80</f>
        <v>2552</v>
      </c>
      <c r="E23" s="9">
        <f>IF(B23=0,0,D23/B23)</f>
        <v>0.26885798567214497</v>
      </c>
      <c r="F23" s="10">
        <f>B80</f>
        <v>24</v>
      </c>
      <c r="G23" s="10">
        <f>C78</f>
        <v>12</v>
      </c>
      <c r="H23" s="10">
        <f>ROUNDUP((C$15+C$16)/(C$8-C$11),0)</f>
        <v>2</v>
      </c>
      <c r="I23" s="4"/>
      <c r="J23" s="4"/>
      <c r="K23" s="4"/>
      <c r="L23" s="4"/>
      <c r="M23" s="4"/>
    </row>
    <row r="24" spans="1:13" ht="15">
      <c r="A24" s="11" t="s">
        <v>5</v>
      </c>
      <c r="B24" s="12">
        <f>F97</f>
        <v>17073</v>
      </c>
      <c r="C24" s="12">
        <f>K97</f>
        <v>10022</v>
      </c>
      <c r="D24" s="12">
        <f>L97</f>
        <v>7051</v>
      </c>
      <c r="E24" s="13">
        <f>IF(B24=0,0,D24/B24)</f>
        <v>0.41299127276987058</v>
      </c>
      <c r="F24" s="14">
        <f>B97</f>
        <v>47</v>
      </c>
      <c r="G24" s="14">
        <f>C95</f>
        <v>13</v>
      </c>
      <c r="H24" s="14">
        <f>ROUNDUP((D$15+D$16)/(D$8-D$11),0)</f>
        <v>2</v>
      </c>
      <c r="I24" s="4"/>
      <c r="J24" s="4"/>
      <c r="K24" s="4"/>
      <c r="L24" s="4"/>
      <c r="M24" s="4"/>
    </row>
    <row r="25" spans="1:13">
      <c r="A25" s="4" t="s">
        <v>6</v>
      </c>
      <c r="B25" s="8">
        <f>F114</f>
        <v>27259</v>
      </c>
      <c r="C25" s="8">
        <f>K114</f>
        <v>13948</v>
      </c>
      <c r="D25" s="8">
        <f>L114</f>
        <v>13311</v>
      </c>
      <c r="E25" s="9">
        <f>IF(B25=0,0,D25/B25)</f>
        <v>0.48831578561209144</v>
      </c>
      <c r="F25" s="10">
        <f>B114</f>
        <v>67</v>
      </c>
      <c r="G25" s="10">
        <f>C112</f>
        <v>25</v>
      </c>
      <c r="H25" s="10">
        <f>ROUNDUP((E$15+E$16)/(E$8-E$11),0)</f>
        <v>2</v>
      </c>
      <c r="I25" s="4"/>
      <c r="J25" s="4"/>
      <c r="K25" s="4"/>
      <c r="L25" s="4"/>
      <c r="M25" s="4"/>
    </row>
    <row r="26" spans="1:13">
      <c r="A26" s="4" t="s">
        <v>7</v>
      </c>
      <c r="B26" s="8">
        <f>F131</f>
        <v>37813</v>
      </c>
      <c r="C26" s="8">
        <f>K131</f>
        <v>18510</v>
      </c>
      <c r="D26" s="8">
        <f>L131</f>
        <v>19303</v>
      </c>
      <c r="E26" s="9">
        <f>IF(B26=0,0,D26/B26)</f>
        <v>0.51048581175786101</v>
      </c>
      <c r="F26" s="10">
        <f>B131</f>
        <v>95</v>
      </c>
      <c r="G26" s="10">
        <f>C129</f>
        <v>27</v>
      </c>
      <c r="H26" s="10">
        <f>ROUNDUP((F$15+F$16)/(F$8-F$11),0)</f>
        <v>2</v>
      </c>
      <c r="I26" s="4"/>
      <c r="J26" s="4"/>
      <c r="K26" s="4"/>
      <c r="L26" s="4"/>
      <c r="M26" s="4"/>
    </row>
    <row r="27" spans="1:13">
      <c r="A27" s="4"/>
      <c r="B27" s="4"/>
      <c r="C27" s="4"/>
      <c r="D27" s="4"/>
      <c r="E27" s="4"/>
      <c r="F27" s="4"/>
      <c r="G27" s="4"/>
      <c r="H27" s="4"/>
      <c r="I27" s="4"/>
      <c r="J27" s="4"/>
      <c r="K27" s="4"/>
      <c r="L27" s="4"/>
      <c r="M27" s="4"/>
    </row>
    <row r="28" spans="1:13">
      <c r="A28" s="4"/>
      <c r="B28" s="4"/>
      <c r="C28" s="4"/>
      <c r="D28" s="4"/>
      <c r="E28" s="4"/>
      <c r="F28" s="4"/>
      <c r="G28" s="4"/>
      <c r="H28" s="4"/>
      <c r="I28" s="4"/>
      <c r="J28" s="4"/>
      <c r="K28" s="4"/>
      <c r="L28" s="4"/>
      <c r="M28" s="4"/>
    </row>
    <row r="29" spans="1:13" ht="15">
      <c r="A29" s="22" t="s">
        <v>43</v>
      </c>
      <c r="B29" s="22"/>
      <c r="C29" s="22"/>
      <c r="D29" s="22"/>
      <c r="E29" s="22"/>
      <c r="F29" s="22"/>
      <c r="G29" s="22"/>
      <c r="H29" s="22"/>
      <c r="I29" s="22"/>
      <c r="J29" s="22"/>
      <c r="K29" s="22"/>
      <c r="L29" s="22"/>
      <c r="M29" s="22"/>
    </row>
    <row r="30" spans="1:13" ht="30">
      <c r="A30" s="7" t="s">
        <v>35</v>
      </c>
      <c r="B30" s="7" t="s">
        <v>44</v>
      </c>
      <c r="C30" s="7" t="s">
        <v>45</v>
      </c>
      <c r="D30" s="7" t="s">
        <v>46</v>
      </c>
      <c r="E30" s="7" t="s">
        <v>47</v>
      </c>
      <c r="F30" s="7" t="s">
        <v>48</v>
      </c>
      <c r="G30" s="7" t="s">
        <v>49</v>
      </c>
      <c r="H30" s="7" t="s">
        <v>50</v>
      </c>
      <c r="I30" s="4"/>
      <c r="J30" s="4"/>
      <c r="K30" s="4"/>
      <c r="L30" s="4"/>
      <c r="M30" s="4"/>
    </row>
    <row r="31" spans="1:13" ht="57">
      <c r="A31" s="4" t="s">
        <v>3</v>
      </c>
      <c r="B31" s="8">
        <f>B$8</f>
        <v>249</v>
      </c>
      <c r="C31" s="8">
        <f>B$11</f>
        <v>155</v>
      </c>
      <c r="D31" s="8">
        <f>B31-C31</f>
        <v>94</v>
      </c>
      <c r="E31" s="8">
        <f>B$15+B$16</f>
        <v>230</v>
      </c>
      <c r="F31" s="15">
        <f>E31/D31</f>
        <v>2.4468085106382977</v>
      </c>
      <c r="G31" s="10">
        <f>ROUNDUP(F31,0)</f>
        <v>3</v>
      </c>
      <c r="H31" s="4" t="str">
        <f>"Needs about "&amp;G31&amp;" website(s) per month to cover monthly fixed costs."</f>
        <v>Needs about 3 website(s) per month to cover monthly fixed costs.</v>
      </c>
      <c r="I31" s="4"/>
      <c r="J31" s="4"/>
      <c r="K31" s="4"/>
      <c r="L31" s="4"/>
      <c r="M31" s="4"/>
    </row>
    <row r="32" spans="1:13" ht="57">
      <c r="A32" s="4" t="s">
        <v>4</v>
      </c>
      <c r="B32" s="8">
        <f>C$8</f>
        <v>259</v>
      </c>
      <c r="C32" s="8">
        <f>C$11</f>
        <v>150</v>
      </c>
      <c r="D32" s="8">
        <f>B32-C32</f>
        <v>109</v>
      </c>
      <c r="E32" s="8">
        <f>C$15+C$16</f>
        <v>205</v>
      </c>
      <c r="F32" s="15">
        <f>E32/D32</f>
        <v>1.8807339449541285</v>
      </c>
      <c r="G32" s="10">
        <f>ROUNDUP(F32,0)</f>
        <v>2</v>
      </c>
      <c r="H32" s="4" t="str">
        <f>"Needs about "&amp;G32&amp;" website(s) per month to cover monthly fixed costs."</f>
        <v>Needs about 2 website(s) per month to cover monthly fixed costs.</v>
      </c>
      <c r="I32" s="4"/>
      <c r="J32" s="4"/>
      <c r="K32" s="4"/>
      <c r="L32" s="4"/>
      <c r="M32" s="4"/>
    </row>
    <row r="33" spans="1:13" ht="75">
      <c r="A33" s="11" t="s">
        <v>5</v>
      </c>
      <c r="B33" s="12">
        <f>D$8</f>
        <v>279</v>
      </c>
      <c r="C33" s="12">
        <f>D$11</f>
        <v>146</v>
      </c>
      <c r="D33" s="12">
        <f>B33-C33</f>
        <v>133</v>
      </c>
      <c r="E33" s="12">
        <f>D$15+D$16</f>
        <v>180</v>
      </c>
      <c r="F33" s="16">
        <f>E33/D33</f>
        <v>1.3533834586466165</v>
      </c>
      <c r="G33" s="14">
        <f>ROUNDUP(F33,0)</f>
        <v>2</v>
      </c>
      <c r="H33" s="11" t="str">
        <f>"Needs about "&amp;G33&amp;" website(s) per month to cover monthly fixed costs."</f>
        <v>Needs about 2 website(s) per month to cover monthly fixed costs.</v>
      </c>
      <c r="I33" s="4"/>
      <c r="J33" s="4"/>
      <c r="K33" s="4"/>
      <c r="L33" s="4"/>
      <c r="M33" s="4"/>
    </row>
    <row r="34" spans="1:13" ht="57">
      <c r="A34" s="4" t="s">
        <v>6</v>
      </c>
      <c r="B34" s="8">
        <f>E$8</f>
        <v>289</v>
      </c>
      <c r="C34" s="8">
        <f>E$11</f>
        <v>144</v>
      </c>
      <c r="D34" s="8">
        <f>B34-C34</f>
        <v>145</v>
      </c>
      <c r="E34" s="8">
        <f>E$15+E$16</f>
        <v>210</v>
      </c>
      <c r="F34" s="15">
        <f>E34/D34</f>
        <v>1.4482758620689655</v>
      </c>
      <c r="G34" s="10">
        <f>ROUNDUP(F34,0)</f>
        <v>2</v>
      </c>
      <c r="H34" s="4" t="str">
        <f>"Needs about "&amp;G34&amp;" website(s) per month to cover monthly fixed costs."</f>
        <v>Needs about 2 website(s) per month to cover monthly fixed costs.</v>
      </c>
      <c r="I34" s="4"/>
      <c r="J34" s="4"/>
      <c r="K34" s="4"/>
      <c r="L34" s="4"/>
      <c r="M34" s="4"/>
    </row>
    <row r="35" spans="1:13" ht="57">
      <c r="A35" s="4" t="s">
        <v>7</v>
      </c>
      <c r="B35" s="8">
        <f>F$8</f>
        <v>299</v>
      </c>
      <c r="C35" s="8">
        <f>F$11</f>
        <v>142</v>
      </c>
      <c r="D35" s="8">
        <f>B35-C35</f>
        <v>157</v>
      </c>
      <c r="E35" s="8">
        <f>F$15+F$16</f>
        <v>250</v>
      </c>
      <c r="F35" s="15">
        <f>E35/D35</f>
        <v>1.5923566878980893</v>
      </c>
      <c r="G35" s="10">
        <f>ROUNDUP(F35,0)</f>
        <v>2</v>
      </c>
      <c r="H35" s="4" t="str">
        <f>"Needs about "&amp;G35&amp;" website(s) per month to cover monthly fixed costs."</f>
        <v>Needs about 2 website(s) per month to cover monthly fixed costs.</v>
      </c>
      <c r="I35" s="4"/>
      <c r="J35" s="4"/>
      <c r="K35" s="4"/>
      <c r="L35" s="4"/>
      <c r="M35" s="4"/>
    </row>
    <row r="36" spans="1:13">
      <c r="A36" s="4"/>
      <c r="B36" s="4"/>
      <c r="C36" s="4"/>
      <c r="D36" s="4"/>
      <c r="E36" s="4"/>
      <c r="F36" s="4"/>
      <c r="G36" s="4"/>
      <c r="H36" s="4"/>
      <c r="I36" s="4"/>
      <c r="J36" s="4"/>
      <c r="K36" s="4"/>
      <c r="L36" s="4"/>
      <c r="M36" s="4"/>
    </row>
    <row r="37" spans="1:13">
      <c r="A37" s="4"/>
      <c r="B37" s="4"/>
      <c r="C37" s="4"/>
      <c r="D37" s="4"/>
      <c r="E37" s="4"/>
      <c r="F37" s="4"/>
      <c r="G37" s="4"/>
      <c r="H37" s="4"/>
      <c r="I37" s="4"/>
      <c r="J37" s="4"/>
      <c r="K37" s="4"/>
      <c r="L37" s="4"/>
      <c r="M37" s="4"/>
    </row>
    <row r="38" spans="1:13" ht="15">
      <c r="A38" s="22" t="s">
        <v>51</v>
      </c>
      <c r="B38" s="22"/>
      <c r="C38" s="22"/>
      <c r="D38" s="22"/>
      <c r="E38" s="22"/>
      <c r="F38" s="22"/>
      <c r="G38" s="22"/>
      <c r="H38" s="22"/>
      <c r="I38" s="22"/>
      <c r="J38" s="22"/>
      <c r="K38" s="22"/>
      <c r="L38" s="22"/>
      <c r="M38" s="22"/>
    </row>
    <row r="39" spans="1:13" ht="30">
      <c r="A39" s="1" t="s">
        <v>52</v>
      </c>
      <c r="B39" s="17">
        <v>249</v>
      </c>
      <c r="C39" s="17">
        <v>259</v>
      </c>
      <c r="D39" s="17">
        <v>279</v>
      </c>
      <c r="E39" s="17">
        <v>289</v>
      </c>
      <c r="F39" s="17">
        <v>299</v>
      </c>
      <c r="G39" s="4"/>
      <c r="H39" s="4"/>
      <c r="I39" s="4"/>
      <c r="J39" s="4"/>
      <c r="K39" s="4"/>
      <c r="L39" s="4"/>
      <c r="M39" s="4"/>
    </row>
    <row r="40" spans="1:13">
      <c r="A40" s="4">
        <v>1</v>
      </c>
      <c r="B40" s="8">
        <f t="shared" ref="B40:F45" si="0">(B$39-$D$11)*$A40-($D$15+$D$16)</f>
        <v>-77</v>
      </c>
      <c r="C40" s="8">
        <f t="shared" si="0"/>
        <v>-67</v>
      </c>
      <c r="D40" s="8">
        <f t="shared" si="0"/>
        <v>-47</v>
      </c>
      <c r="E40" s="8">
        <f t="shared" si="0"/>
        <v>-37</v>
      </c>
      <c r="F40" s="8">
        <f t="shared" si="0"/>
        <v>-27</v>
      </c>
      <c r="G40" s="4"/>
      <c r="H40" s="4"/>
      <c r="I40" s="4"/>
      <c r="J40" s="4"/>
      <c r="K40" s="4"/>
      <c r="L40" s="4"/>
      <c r="M40" s="4"/>
    </row>
    <row r="41" spans="1:13">
      <c r="A41" s="4">
        <v>2</v>
      </c>
      <c r="B41" s="8">
        <f t="shared" si="0"/>
        <v>26</v>
      </c>
      <c r="C41" s="8">
        <f t="shared" si="0"/>
        <v>46</v>
      </c>
      <c r="D41" s="8">
        <f t="shared" si="0"/>
        <v>86</v>
      </c>
      <c r="E41" s="8">
        <f t="shared" si="0"/>
        <v>106</v>
      </c>
      <c r="F41" s="8">
        <f t="shared" si="0"/>
        <v>126</v>
      </c>
      <c r="G41" s="4"/>
      <c r="H41" s="4"/>
      <c r="I41" s="4"/>
      <c r="J41" s="4"/>
      <c r="K41" s="4"/>
      <c r="L41" s="4"/>
      <c r="M41" s="4"/>
    </row>
    <row r="42" spans="1:13">
      <c r="A42" s="4">
        <v>3</v>
      </c>
      <c r="B42" s="8">
        <f t="shared" si="0"/>
        <v>129</v>
      </c>
      <c r="C42" s="8">
        <f t="shared" si="0"/>
        <v>159</v>
      </c>
      <c r="D42" s="8">
        <f t="shared" si="0"/>
        <v>219</v>
      </c>
      <c r="E42" s="8">
        <f t="shared" si="0"/>
        <v>249</v>
      </c>
      <c r="F42" s="8">
        <f t="shared" si="0"/>
        <v>279</v>
      </c>
      <c r="G42" s="4"/>
      <c r="H42" s="4"/>
      <c r="I42" s="4"/>
      <c r="J42" s="4"/>
      <c r="K42" s="4"/>
      <c r="L42" s="4"/>
      <c r="M42" s="4"/>
    </row>
    <row r="43" spans="1:13">
      <c r="A43" s="4">
        <v>4</v>
      </c>
      <c r="B43" s="8">
        <f t="shared" si="0"/>
        <v>232</v>
      </c>
      <c r="C43" s="8">
        <f t="shared" si="0"/>
        <v>272</v>
      </c>
      <c r="D43" s="8">
        <f t="shared" si="0"/>
        <v>352</v>
      </c>
      <c r="E43" s="8">
        <f t="shared" si="0"/>
        <v>392</v>
      </c>
      <c r="F43" s="8">
        <f t="shared" si="0"/>
        <v>432</v>
      </c>
      <c r="G43" s="4"/>
      <c r="H43" s="4"/>
      <c r="I43" s="4"/>
      <c r="J43" s="4"/>
      <c r="K43" s="4"/>
      <c r="L43" s="4"/>
      <c r="M43" s="4"/>
    </row>
    <row r="44" spans="1:13">
      <c r="A44" s="4">
        <v>5</v>
      </c>
      <c r="B44" s="8">
        <f t="shared" si="0"/>
        <v>335</v>
      </c>
      <c r="C44" s="8">
        <f t="shared" si="0"/>
        <v>385</v>
      </c>
      <c r="D44" s="8">
        <f t="shared" si="0"/>
        <v>485</v>
      </c>
      <c r="E44" s="8">
        <f t="shared" si="0"/>
        <v>535</v>
      </c>
      <c r="F44" s="8">
        <f t="shared" si="0"/>
        <v>585</v>
      </c>
      <c r="G44" s="4"/>
      <c r="H44" s="4"/>
      <c r="I44" s="4"/>
      <c r="J44" s="4"/>
      <c r="K44" s="4"/>
      <c r="L44" s="4"/>
      <c r="M44" s="4"/>
    </row>
    <row r="45" spans="1:13">
      <c r="A45" s="4">
        <v>6</v>
      </c>
      <c r="B45" s="8">
        <f t="shared" si="0"/>
        <v>438</v>
      </c>
      <c r="C45" s="8">
        <f t="shared" si="0"/>
        <v>498</v>
      </c>
      <c r="D45" s="8">
        <f t="shared" si="0"/>
        <v>618</v>
      </c>
      <c r="E45" s="8">
        <f t="shared" si="0"/>
        <v>678</v>
      </c>
      <c r="F45" s="8">
        <f t="shared" si="0"/>
        <v>738</v>
      </c>
      <c r="G45" s="4"/>
      <c r="H45" s="4"/>
      <c r="I45" s="4"/>
      <c r="J45" s="4"/>
      <c r="K45" s="4"/>
      <c r="L45" s="4"/>
      <c r="M45" s="4"/>
    </row>
    <row r="46" spans="1:13">
      <c r="A46" s="4"/>
      <c r="B46" s="4"/>
      <c r="C46" s="4"/>
      <c r="D46" s="4"/>
      <c r="E46" s="4"/>
      <c r="F46" s="4"/>
      <c r="G46" s="4"/>
      <c r="H46" s="4"/>
      <c r="I46" s="4"/>
      <c r="J46" s="4"/>
      <c r="K46" s="4"/>
      <c r="L46" s="4"/>
      <c r="M46" s="4"/>
    </row>
    <row r="47" spans="1:13">
      <c r="A47" s="4"/>
      <c r="B47" s="4"/>
      <c r="C47" s="4"/>
      <c r="D47" s="4"/>
      <c r="E47" s="4"/>
      <c r="F47" s="4"/>
      <c r="G47" s="4"/>
      <c r="H47" s="4"/>
      <c r="I47" s="4"/>
      <c r="J47" s="4"/>
      <c r="K47" s="4"/>
      <c r="L47" s="4"/>
      <c r="M47" s="4"/>
    </row>
    <row r="48" spans="1:13" ht="15">
      <c r="A48" s="22" t="s">
        <v>53</v>
      </c>
      <c r="B48" s="22"/>
      <c r="C48" s="22"/>
      <c r="D48" s="22"/>
      <c r="E48" s="22"/>
      <c r="F48" s="22"/>
      <c r="G48" s="22"/>
      <c r="H48" s="22"/>
      <c r="I48" s="22"/>
      <c r="J48" s="22"/>
      <c r="K48" s="22"/>
      <c r="L48" s="22"/>
      <c r="M48" s="22"/>
    </row>
    <row r="49" spans="1:13" ht="30">
      <c r="A49" s="1" t="s">
        <v>54</v>
      </c>
      <c r="B49" s="1" t="s">
        <v>55</v>
      </c>
      <c r="C49" s="1" t="s">
        <v>56</v>
      </c>
      <c r="D49" s="1" t="s">
        <v>57</v>
      </c>
      <c r="E49" s="1" t="s">
        <v>58</v>
      </c>
      <c r="F49" s="1" t="s">
        <v>59</v>
      </c>
      <c r="G49" s="1" t="s">
        <v>60</v>
      </c>
      <c r="H49" s="1" t="s">
        <v>61</v>
      </c>
      <c r="I49" s="1" t="s">
        <v>62</v>
      </c>
      <c r="J49" s="1" t="s">
        <v>63</v>
      </c>
      <c r="K49" s="1" t="s">
        <v>64</v>
      </c>
      <c r="L49" s="1" t="s">
        <v>65</v>
      </c>
      <c r="M49" s="1" t="s">
        <v>66</v>
      </c>
    </row>
    <row r="50" spans="1:13">
      <c r="A50" s="4" t="s">
        <v>67</v>
      </c>
      <c r="B50" s="10">
        <f>ROUND($B$9*(1+$B$10)^0,0)</f>
        <v>1</v>
      </c>
      <c r="C50" s="10">
        <f>$B$13+(0*$B$14)</f>
        <v>0</v>
      </c>
      <c r="D50" s="8">
        <f t="shared" ref="D50:D61" si="1">B50*$B$8</f>
        <v>249</v>
      </c>
      <c r="E50" s="8">
        <f t="shared" ref="E50:E61" si="2">C50*$B$12</f>
        <v>0</v>
      </c>
      <c r="F50" s="8">
        <f t="shared" ref="F50:F61" si="3">D50+E50</f>
        <v>249</v>
      </c>
      <c r="G50" s="8">
        <f t="shared" ref="G50:G61" si="4">B50*$B$11</f>
        <v>155</v>
      </c>
      <c r="H50" s="8">
        <f t="shared" ref="H50:H61" si="5">C50*$B$17</f>
        <v>0</v>
      </c>
      <c r="I50" s="8">
        <f t="shared" ref="I50:I61" si="6">$B$15</f>
        <v>150</v>
      </c>
      <c r="J50" s="8">
        <f t="shared" ref="J50:J61" si="7">$B$16</f>
        <v>80</v>
      </c>
      <c r="K50" s="8">
        <f>G50+H50+I50+J50+$B$18</f>
        <v>485</v>
      </c>
      <c r="L50" s="8">
        <f t="shared" ref="L50:L61" si="8">F50-K50</f>
        <v>-236</v>
      </c>
      <c r="M50" s="8">
        <f>L50</f>
        <v>-236</v>
      </c>
    </row>
    <row r="51" spans="1:13">
      <c r="A51" s="4" t="s">
        <v>68</v>
      </c>
      <c r="B51" s="10">
        <f>ROUND($B$9*(1+$B$10)^1,0)</f>
        <v>1</v>
      </c>
      <c r="C51" s="10">
        <f>$B$13+(1*$B$14)</f>
        <v>0</v>
      </c>
      <c r="D51" s="8">
        <f t="shared" si="1"/>
        <v>249</v>
      </c>
      <c r="E51" s="8">
        <f t="shared" si="2"/>
        <v>0</v>
      </c>
      <c r="F51" s="8">
        <f t="shared" si="3"/>
        <v>249</v>
      </c>
      <c r="G51" s="8">
        <f t="shared" si="4"/>
        <v>155</v>
      </c>
      <c r="H51" s="8">
        <f t="shared" si="5"/>
        <v>0</v>
      </c>
      <c r="I51" s="8">
        <f t="shared" si="6"/>
        <v>150</v>
      </c>
      <c r="J51" s="8">
        <f t="shared" si="7"/>
        <v>80</v>
      </c>
      <c r="K51" s="8">
        <f t="shared" ref="K51:K61" si="9">G51+H51+I51+J51</f>
        <v>385</v>
      </c>
      <c r="L51" s="8">
        <f t="shared" si="8"/>
        <v>-136</v>
      </c>
      <c r="M51" s="8">
        <f t="shared" ref="M51:M61" si="10">M50+L51</f>
        <v>-372</v>
      </c>
    </row>
    <row r="52" spans="1:13">
      <c r="A52" s="4" t="s">
        <v>69</v>
      </c>
      <c r="B52" s="10">
        <f>ROUND($B$9*(1+$B$10)^2,0)</f>
        <v>1</v>
      </c>
      <c r="C52" s="10">
        <f>$B$13+(2*$B$14)</f>
        <v>0</v>
      </c>
      <c r="D52" s="8">
        <f t="shared" si="1"/>
        <v>249</v>
      </c>
      <c r="E52" s="8">
        <f t="shared" si="2"/>
        <v>0</v>
      </c>
      <c r="F52" s="8">
        <f t="shared" si="3"/>
        <v>249</v>
      </c>
      <c r="G52" s="8">
        <f t="shared" si="4"/>
        <v>155</v>
      </c>
      <c r="H52" s="8">
        <f t="shared" si="5"/>
        <v>0</v>
      </c>
      <c r="I52" s="8">
        <f t="shared" si="6"/>
        <v>150</v>
      </c>
      <c r="J52" s="8">
        <f t="shared" si="7"/>
        <v>80</v>
      </c>
      <c r="K52" s="8">
        <f t="shared" si="9"/>
        <v>385</v>
      </c>
      <c r="L52" s="8">
        <f t="shared" si="8"/>
        <v>-136</v>
      </c>
      <c r="M52" s="8">
        <f t="shared" si="10"/>
        <v>-508</v>
      </c>
    </row>
    <row r="53" spans="1:13">
      <c r="A53" s="4" t="s">
        <v>70</v>
      </c>
      <c r="B53" s="10">
        <f>ROUND($B$9*(1+$B$10)^3,0)</f>
        <v>1</v>
      </c>
      <c r="C53" s="10">
        <f>$B$13+(3*$B$14)</f>
        <v>0</v>
      </c>
      <c r="D53" s="8">
        <f t="shared" si="1"/>
        <v>249</v>
      </c>
      <c r="E53" s="8">
        <f t="shared" si="2"/>
        <v>0</v>
      </c>
      <c r="F53" s="8">
        <f t="shared" si="3"/>
        <v>249</v>
      </c>
      <c r="G53" s="8">
        <f t="shared" si="4"/>
        <v>155</v>
      </c>
      <c r="H53" s="8">
        <f t="shared" si="5"/>
        <v>0</v>
      </c>
      <c r="I53" s="8">
        <f t="shared" si="6"/>
        <v>150</v>
      </c>
      <c r="J53" s="8">
        <f t="shared" si="7"/>
        <v>80</v>
      </c>
      <c r="K53" s="8">
        <f t="shared" si="9"/>
        <v>385</v>
      </c>
      <c r="L53" s="8">
        <f t="shared" si="8"/>
        <v>-136</v>
      </c>
      <c r="M53" s="8">
        <f t="shared" si="10"/>
        <v>-644</v>
      </c>
    </row>
    <row r="54" spans="1:13">
      <c r="A54" s="4" t="s">
        <v>71</v>
      </c>
      <c r="B54" s="10">
        <f>ROUND($B$9*(1+$B$10)^4,0)</f>
        <v>1</v>
      </c>
      <c r="C54" s="10">
        <f>$B$13+(4*$B$14)</f>
        <v>0</v>
      </c>
      <c r="D54" s="8">
        <f t="shared" si="1"/>
        <v>249</v>
      </c>
      <c r="E54" s="8">
        <f t="shared" si="2"/>
        <v>0</v>
      </c>
      <c r="F54" s="8">
        <f t="shared" si="3"/>
        <v>249</v>
      </c>
      <c r="G54" s="8">
        <f t="shared" si="4"/>
        <v>155</v>
      </c>
      <c r="H54" s="8">
        <f t="shared" si="5"/>
        <v>0</v>
      </c>
      <c r="I54" s="8">
        <f t="shared" si="6"/>
        <v>150</v>
      </c>
      <c r="J54" s="8">
        <f t="shared" si="7"/>
        <v>80</v>
      </c>
      <c r="K54" s="8">
        <f t="shared" si="9"/>
        <v>385</v>
      </c>
      <c r="L54" s="8">
        <f t="shared" si="8"/>
        <v>-136</v>
      </c>
      <c r="M54" s="8">
        <f t="shared" si="10"/>
        <v>-780</v>
      </c>
    </row>
    <row r="55" spans="1:13">
      <c r="A55" s="4" t="s">
        <v>72</v>
      </c>
      <c r="B55" s="10">
        <f>ROUND($B$9*(1+$B$10)^5,0)</f>
        <v>1</v>
      </c>
      <c r="C55" s="10">
        <f>$B$13+(5*$B$14)</f>
        <v>0</v>
      </c>
      <c r="D55" s="8">
        <f t="shared" si="1"/>
        <v>249</v>
      </c>
      <c r="E55" s="8">
        <f t="shared" si="2"/>
        <v>0</v>
      </c>
      <c r="F55" s="8">
        <f t="shared" si="3"/>
        <v>249</v>
      </c>
      <c r="G55" s="8">
        <f t="shared" si="4"/>
        <v>155</v>
      </c>
      <c r="H55" s="8">
        <f t="shared" si="5"/>
        <v>0</v>
      </c>
      <c r="I55" s="8">
        <f t="shared" si="6"/>
        <v>150</v>
      </c>
      <c r="J55" s="8">
        <f t="shared" si="7"/>
        <v>80</v>
      </c>
      <c r="K55" s="8">
        <f t="shared" si="9"/>
        <v>385</v>
      </c>
      <c r="L55" s="8">
        <f t="shared" si="8"/>
        <v>-136</v>
      </c>
      <c r="M55" s="8">
        <f t="shared" si="10"/>
        <v>-916</v>
      </c>
    </row>
    <row r="56" spans="1:13">
      <c r="A56" s="4" t="s">
        <v>73</v>
      </c>
      <c r="B56" s="10">
        <f>ROUND($B$9*(1+$B$10)^6,0)</f>
        <v>1</v>
      </c>
      <c r="C56" s="10">
        <f>$B$13+(6*$B$14)</f>
        <v>0</v>
      </c>
      <c r="D56" s="8">
        <f t="shared" si="1"/>
        <v>249</v>
      </c>
      <c r="E56" s="8">
        <f t="shared" si="2"/>
        <v>0</v>
      </c>
      <c r="F56" s="8">
        <f t="shared" si="3"/>
        <v>249</v>
      </c>
      <c r="G56" s="8">
        <f t="shared" si="4"/>
        <v>155</v>
      </c>
      <c r="H56" s="8">
        <f t="shared" si="5"/>
        <v>0</v>
      </c>
      <c r="I56" s="8">
        <f t="shared" si="6"/>
        <v>150</v>
      </c>
      <c r="J56" s="8">
        <f t="shared" si="7"/>
        <v>80</v>
      </c>
      <c r="K56" s="8">
        <f t="shared" si="9"/>
        <v>385</v>
      </c>
      <c r="L56" s="8">
        <f t="shared" si="8"/>
        <v>-136</v>
      </c>
      <c r="M56" s="8">
        <f t="shared" si="10"/>
        <v>-1052</v>
      </c>
    </row>
    <row r="57" spans="1:13">
      <c r="A57" s="4" t="s">
        <v>74</v>
      </c>
      <c r="B57" s="10">
        <f>ROUND($B$9*(1+$B$10)^7,0)</f>
        <v>1</v>
      </c>
      <c r="C57" s="10">
        <f>$B$13+(7*$B$14)</f>
        <v>0</v>
      </c>
      <c r="D57" s="8">
        <f t="shared" si="1"/>
        <v>249</v>
      </c>
      <c r="E57" s="8">
        <f t="shared" si="2"/>
        <v>0</v>
      </c>
      <c r="F57" s="8">
        <f t="shared" si="3"/>
        <v>249</v>
      </c>
      <c r="G57" s="8">
        <f t="shared" si="4"/>
        <v>155</v>
      </c>
      <c r="H57" s="8">
        <f t="shared" si="5"/>
        <v>0</v>
      </c>
      <c r="I57" s="8">
        <f t="shared" si="6"/>
        <v>150</v>
      </c>
      <c r="J57" s="8">
        <f t="shared" si="7"/>
        <v>80</v>
      </c>
      <c r="K57" s="8">
        <f t="shared" si="9"/>
        <v>385</v>
      </c>
      <c r="L57" s="8">
        <f t="shared" si="8"/>
        <v>-136</v>
      </c>
      <c r="M57" s="8">
        <f t="shared" si="10"/>
        <v>-1188</v>
      </c>
    </row>
    <row r="58" spans="1:13">
      <c r="A58" s="4" t="s">
        <v>75</v>
      </c>
      <c r="B58" s="10">
        <f>ROUND($B$9*(1+$B$10)^8,0)</f>
        <v>1</v>
      </c>
      <c r="C58" s="10">
        <f>$B$13+(8*$B$14)</f>
        <v>0</v>
      </c>
      <c r="D58" s="8">
        <f t="shared" si="1"/>
        <v>249</v>
      </c>
      <c r="E58" s="8">
        <f t="shared" si="2"/>
        <v>0</v>
      </c>
      <c r="F58" s="8">
        <f t="shared" si="3"/>
        <v>249</v>
      </c>
      <c r="G58" s="8">
        <f t="shared" si="4"/>
        <v>155</v>
      </c>
      <c r="H58" s="8">
        <f t="shared" si="5"/>
        <v>0</v>
      </c>
      <c r="I58" s="8">
        <f t="shared" si="6"/>
        <v>150</v>
      </c>
      <c r="J58" s="8">
        <f t="shared" si="7"/>
        <v>80</v>
      </c>
      <c r="K58" s="8">
        <f t="shared" si="9"/>
        <v>385</v>
      </c>
      <c r="L58" s="8">
        <f t="shared" si="8"/>
        <v>-136</v>
      </c>
      <c r="M58" s="8">
        <f t="shared" si="10"/>
        <v>-1324</v>
      </c>
    </row>
    <row r="59" spans="1:13">
      <c r="A59" s="4" t="s">
        <v>76</v>
      </c>
      <c r="B59" s="10">
        <f>ROUND($B$9*(1+$B$10)^9,0)</f>
        <v>1</v>
      </c>
      <c r="C59" s="10">
        <f>$B$13+(9*$B$14)</f>
        <v>0</v>
      </c>
      <c r="D59" s="8">
        <f t="shared" si="1"/>
        <v>249</v>
      </c>
      <c r="E59" s="8">
        <f t="shared" si="2"/>
        <v>0</v>
      </c>
      <c r="F59" s="8">
        <f t="shared" si="3"/>
        <v>249</v>
      </c>
      <c r="G59" s="8">
        <f t="shared" si="4"/>
        <v>155</v>
      </c>
      <c r="H59" s="8">
        <f t="shared" si="5"/>
        <v>0</v>
      </c>
      <c r="I59" s="8">
        <f t="shared" si="6"/>
        <v>150</v>
      </c>
      <c r="J59" s="8">
        <f t="shared" si="7"/>
        <v>80</v>
      </c>
      <c r="K59" s="8">
        <f t="shared" si="9"/>
        <v>385</v>
      </c>
      <c r="L59" s="8">
        <f t="shared" si="8"/>
        <v>-136</v>
      </c>
      <c r="M59" s="8">
        <f t="shared" si="10"/>
        <v>-1460</v>
      </c>
    </row>
    <row r="60" spans="1:13">
      <c r="A60" s="4" t="s">
        <v>77</v>
      </c>
      <c r="B60" s="10">
        <f>ROUND($B$9*(1+$B$10)^10,0)</f>
        <v>1</v>
      </c>
      <c r="C60" s="10">
        <f>$B$13+(10*$B$14)</f>
        <v>0</v>
      </c>
      <c r="D60" s="8">
        <f t="shared" si="1"/>
        <v>249</v>
      </c>
      <c r="E60" s="8">
        <f t="shared" si="2"/>
        <v>0</v>
      </c>
      <c r="F60" s="8">
        <f t="shared" si="3"/>
        <v>249</v>
      </c>
      <c r="G60" s="8">
        <f t="shared" si="4"/>
        <v>155</v>
      </c>
      <c r="H60" s="8">
        <f t="shared" si="5"/>
        <v>0</v>
      </c>
      <c r="I60" s="8">
        <f t="shared" si="6"/>
        <v>150</v>
      </c>
      <c r="J60" s="8">
        <f t="shared" si="7"/>
        <v>80</v>
      </c>
      <c r="K60" s="8">
        <f t="shared" si="9"/>
        <v>385</v>
      </c>
      <c r="L60" s="8">
        <f t="shared" si="8"/>
        <v>-136</v>
      </c>
      <c r="M60" s="8">
        <f t="shared" si="10"/>
        <v>-1596</v>
      </c>
    </row>
    <row r="61" spans="1:13">
      <c r="A61" s="4" t="s">
        <v>78</v>
      </c>
      <c r="B61" s="10">
        <f>ROUND($B$9*(1+$B$10)^11,0)</f>
        <v>1</v>
      </c>
      <c r="C61" s="10">
        <f>$B$13+(11*$B$14)</f>
        <v>0</v>
      </c>
      <c r="D61" s="8">
        <f t="shared" si="1"/>
        <v>249</v>
      </c>
      <c r="E61" s="8">
        <f t="shared" si="2"/>
        <v>0</v>
      </c>
      <c r="F61" s="8">
        <f t="shared" si="3"/>
        <v>249</v>
      </c>
      <c r="G61" s="8">
        <f t="shared" si="4"/>
        <v>155</v>
      </c>
      <c r="H61" s="8">
        <f t="shared" si="5"/>
        <v>0</v>
      </c>
      <c r="I61" s="8">
        <f t="shared" si="6"/>
        <v>150</v>
      </c>
      <c r="J61" s="8">
        <f t="shared" si="7"/>
        <v>80</v>
      </c>
      <c r="K61" s="8">
        <f t="shared" si="9"/>
        <v>385</v>
      </c>
      <c r="L61" s="8">
        <f t="shared" si="8"/>
        <v>-136</v>
      </c>
      <c r="M61" s="8">
        <f t="shared" si="10"/>
        <v>-1732</v>
      </c>
    </row>
    <row r="62" spans="1:13">
      <c r="A62" s="4"/>
      <c r="B62" s="4"/>
      <c r="C62" s="4"/>
      <c r="D62" s="4"/>
      <c r="E62" s="4"/>
      <c r="F62" s="4"/>
      <c r="G62" s="4"/>
      <c r="H62" s="4"/>
      <c r="I62" s="4"/>
      <c r="J62" s="4"/>
      <c r="K62" s="4"/>
      <c r="L62" s="4"/>
      <c r="M62" s="4"/>
    </row>
    <row r="63" spans="1:13" ht="15">
      <c r="A63" s="18" t="s">
        <v>79</v>
      </c>
      <c r="B63" s="19">
        <f>SUM(B50:B61)</f>
        <v>12</v>
      </c>
      <c r="C63" s="18">
        <f>C61</f>
        <v>0</v>
      </c>
      <c r="D63" s="20">
        <f t="shared" ref="D63:L63" si="11">SUM(D50:D61)</f>
        <v>2988</v>
      </c>
      <c r="E63" s="20">
        <f t="shared" si="11"/>
        <v>0</v>
      </c>
      <c r="F63" s="20">
        <f t="shared" si="11"/>
        <v>2988</v>
      </c>
      <c r="G63" s="20">
        <f t="shared" si="11"/>
        <v>1860</v>
      </c>
      <c r="H63" s="20">
        <f t="shared" si="11"/>
        <v>0</v>
      </c>
      <c r="I63" s="20">
        <f t="shared" si="11"/>
        <v>1800</v>
      </c>
      <c r="J63" s="20">
        <f t="shared" si="11"/>
        <v>960</v>
      </c>
      <c r="K63" s="20">
        <f t="shared" si="11"/>
        <v>4720</v>
      </c>
      <c r="L63" s="20">
        <f t="shared" si="11"/>
        <v>-1732</v>
      </c>
      <c r="M63" s="20">
        <f>M61</f>
        <v>-1732</v>
      </c>
    </row>
    <row r="64" spans="1:13">
      <c r="A64" s="4"/>
      <c r="B64" s="4"/>
      <c r="C64" s="4"/>
      <c r="D64" s="4"/>
      <c r="E64" s="4"/>
      <c r="F64" s="4"/>
      <c r="G64" s="4"/>
      <c r="H64" s="4"/>
      <c r="I64" s="4"/>
      <c r="J64" s="4"/>
      <c r="K64" s="4"/>
      <c r="L64" s="4"/>
      <c r="M64" s="4"/>
    </row>
    <row r="65" spans="1:13" ht="15">
      <c r="A65" s="22" t="s">
        <v>80</v>
      </c>
      <c r="B65" s="22"/>
      <c r="C65" s="22"/>
      <c r="D65" s="22"/>
      <c r="E65" s="22"/>
      <c r="F65" s="22"/>
      <c r="G65" s="22"/>
      <c r="H65" s="22"/>
      <c r="I65" s="22"/>
      <c r="J65" s="22"/>
      <c r="K65" s="22"/>
      <c r="L65" s="22"/>
      <c r="M65" s="22"/>
    </row>
    <row r="66" spans="1:13" ht="30">
      <c r="A66" s="1" t="s">
        <v>54</v>
      </c>
      <c r="B66" s="1" t="s">
        <v>55</v>
      </c>
      <c r="C66" s="1" t="s">
        <v>56</v>
      </c>
      <c r="D66" s="1" t="s">
        <v>57</v>
      </c>
      <c r="E66" s="1" t="s">
        <v>58</v>
      </c>
      <c r="F66" s="1" t="s">
        <v>59</v>
      </c>
      <c r="G66" s="1" t="s">
        <v>60</v>
      </c>
      <c r="H66" s="1" t="s">
        <v>61</v>
      </c>
      <c r="I66" s="1" t="s">
        <v>62</v>
      </c>
      <c r="J66" s="1" t="s">
        <v>63</v>
      </c>
      <c r="K66" s="1" t="s">
        <v>64</v>
      </c>
      <c r="L66" s="1" t="s">
        <v>65</v>
      </c>
      <c r="M66" s="1" t="s">
        <v>66</v>
      </c>
    </row>
    <row r="67" spans="1:13">
      <c r="A67" s="4" t="s">
        <v>67</v>
      </c>
      <c r="B67" s="10">
        <f>ROUND($C$9*(1+$C$10)^0,0)</f>
        <v>2</v>
      </c>
      <c r="C67" s="10">
        <f>$C$13+(0*$C$14)</f>
        <v>1</v>
      </c>
      <c r="D67" s="8">
        <f t="shared" ref="D67:D78" si="12">B67*$C$8</f>
        <v>518</v>
      </c>
      <c r="E67" s="8">
        <f t="shared" ref="E67:E78" si="13">C67*$C$12</f>
        <v>42</v>
      </c>
      <c r="F67" s="8">
        <f t="shared" ref="F67:F78" si="14">D67+E67</f>
        <v>560</v>
      </c>
      <c r="G67" s="8">
        <f t="shared" ref="G67:G78" si="15">B67*$C$11</f>
        <v>300</v>
      </c>
      <c r="H67" s="8">
        <f t="shared" ref="H67:H78" si="16">C67*$C$17</f>
        <v>10</v>
      </c>
      <c r="I67" s="8">
        <f t="shared" ref="I67:I78" si="17">$C$15</f>
        <v>125</v>
      </c>
      <c r="J67" s="8">
        <f t="shared" ref="J67:J78" si="18">$C$16</f>
        <v>80</v>
      </c>
      <c r="K67" s="8">
        <f>G67+H67+I67+J67+$C$18</f>
        <v>615</v>
      </c>
      <c r="L67" s="8">
        <f t="shared" ref="L67:L78" si="19">F67-K67</f>
        <v>-55</v>
      </c>
      <c r="M67" s="8">
        <f>L67</f>
        <v>-55</v>
      </c>
    </row>
    <row r="68" spans="1:13">
      <c r="A68" s="4" t="s">
        <v>68</v>
      </c>
      <c r="B68" s="10">
        <f>ROUND($C$9*(1+$C$10)^1,0)</f>
        <v>2</v>
      </c>
      <c r="C68" s="10">
        <f>$C$13+(1*$C$14)</f>
        <v>2</v>
      </c>
      <c r="D68" s="8">
        <f t="shared" si="12"/>
        <v>518</v>
      </c>
      <c r="E68" s="8">
        <f t="shared" si="13"/>
        <v>84</v>
      </c>
      <c r="F68" s="8">
        <f t="shared" si="14"/>
        <v>602</v>
      </c>
      <c r="G68" s="8">
        <f t="shared" si="15"/>
        <v>300</v>
      </c>
      <c r="H68" s="8">
        <f t="shared" si="16"/>
        <v>20</v>
      </c>
      <c r="I68" s="8">
        <f t="shared" si="17"/>
        <v>125</v>
      </c>
      <c r="J68" s="8">
        <f t="shared" si="18"/>
        <v>80</v>
      </c>
      <c r="K68" s="8">
        <f t="shared" ref="K68:K78" si="20">G68+H68+I68+J68</f>
        <v>525</v>
      </c>
      <c r="L68" s="8">
        <f t="shared" si="19"/>
        <v>77</v>
      </c>
      <c r="M68" s="8">
        <f t="shared" ref="M68:M78" si="21">M67+L68</f>
        <v>22</v>
      </c>
    </row>
    <row r="69" spans="1:13">
      <c r="A69" s="4" t="s">
        <v>69</v>
      </c>
      <c r="B69" s="10">
        <f>ROUND($C$9*(1+$C$10)^2,0)</f>
        <v>2</v>
      </c>
      <c r="C69" s="10">
        <f>$C$13+(2*$C$14)</f>
        <v>3</v>
      </c>
      <c r="D69" s="8">
        <f t="shared" si="12"/>
        <v>518</v>
      </c>
      <c r="E69" s="8">
        <f t="shared" si="13"/>
        <v>126</v>
      </c>
      <c r="F69" s="8">
        <f t="shared" si="14"/>
        <v>644</v>
      </c>
      <c r="G69" s="8">
        <f t="shared" si="15"/>
        <v>300</v>
      </c>
      <c r="H69" s="8">
        <f t="shared" si="16"/>
        <v>30</v>
      </c>
      <c r="I69" s="8">
        <f t="shared" si="17"/>
        <v>125</v>
      </c>
      <c r="J69" s="8">
        <f t="shared" si="18"/>
        <v>80</v>
      </c>
      <c r="K69" s="8">
        <f t="shared" si="20"/>
        <v>535</v>
      </c>
      <c r="L69" s="8">
        <f t="shared" si="19"/>
        <v>109</v>
      </c>
      <c r="M69" s="8">
        <f t="shared" si="21"/>
        <v>131</v>
      </c>
    </row>
    <row r="70" spans="1:13">
      <c r="A70" s="4" t="s">
        <v>70</v>
      </c>
      <c r="B70" s="10">
        <f>ROUND($C$9*(1+$C$10)^3,0)</f>
        <v>2</v>
      </c>
      <c r="C70" s="10">
        <f>$C$13+(3*$C$14)</f>
        <v>4</v>
      </c>
      <c r="D70" s="8">
        <f t="shared" si="12"/>
        <v>518</v>
      </c>
      <c r="E70" s="8">
        <f t="shared" si="13"/>
        <v>168</v>
      </c>
      <c r="F70" s="8">
        <f t="shared" si="14"/>
        <v>686</v>
      </c>
      <c r="G70" s="8">
        <f t="shared" si="15"/>
        <v>300</v>
      </c>
      <c r="H70" s="8">
        <f t="shared" si="16"/>
        <v>40</v>
      </c>
      <c r="I70" s="8">
        <f t="shared" si="17"/>
        <v>125</v>
      </c>
      <c r="J70" s="8">
        <f t="shared" si="18"/>
        <v>80</v>
      </c>
      <c r="K70" s="8">
        <f t="shared" si="20"/>
        <v>545</v>
      </c>
      <c r="L70" s="8">
        <f t="shared" si="19"/>
        <v>141</v>
      </c>
      <c r="M70" s="8">
        <f t="shared" si="21"/>
        <v>272</v>
      </c>
    </row>
    <row r="71" spans="1:13">
      <c r="A71" s="4" t="s">
        <v>71</v>
      </c>
      <c r="B71" s="10">
        <f>ROUND($C$9*(1+$C$10)^4,0)</f>
        <v>2</v>
      </c>
      <c r="C71" s="10">
        <f>$C$13+(4*$C$14)</f>
        <v>5</v>
      </c>
      <c r="D71" s="8">
        <f t="shared" si="12"/>
        <v>518</v>
      </c>
      <c r="E71" s="8">
        <f t="shared" si="13"/>
        <v>210</v>
      </c>
      <c r="F71" s="8">
        <f t="shared" si="14"/>
        <v>728</v>
      </c>
      <c r="G71" s="8">
        <f t="shared" si="15"/>
        <v>300</v>
      </c>
      <c r="H71" s="8">
        <f t="shared" si="16"/>
        <v>50</v>
      </c>
      <c r="I71" s="8">
        <f t="shared" si="17"/>
        <v>125</v>
      </c>
      <c r="J71" s="8">
        <f t="shared" si="18"/>
        <v>80</v>
      </c>
      <c r="K71" s="8">
        <f t="shared" si="20"/>
        <v>555</v>
      </c>
      <c r="L71" s="8">
        <f t="shared" si="19"/>
        <v>173</v>
      </c>
      <c r="M71" s="8">
        <f t="shared" si="21"/>
        <v>445</v>
      </c>
    </row>
    <row r="72" spans="1:13">
      <c r="A72" s="4" t="s">
        <v>72</v>
      </c>
      <c r="B72" s="10">
        <f>ROUND($C$9*(1+$C$10)^5,0)</f>
        <v>2</v>
      </c>
      <c r="C72" s="10">
        <f>$C$13+(5*$C$14)</f>
        <v>6</v>
      </c>
      <c r="D72" s="8">
        <f t="shared" si="12"/>
        <v>518</v>
      </c>
      <c r="E72" s="8">
        <f t="shared" si="13"/>
        <v>252</v>
      </c>
      <c r="F72" s="8">
        <f t="shared" si="14"/>
        <v>770</v>
      </c>
      <c r="G72" s="8">
        <f t="shared" si="15"/>
        <v>300</v>
      </c>
      <c r="H72" s="8">
        <f t="shared" si="16"/>
        <v>60</v>
      </c>
      <c r="I72" s="8">
        <f t="shared" si="17"/>
        <v>125</v>
      </c>
      <c r="J72" s="8">
        <f t="shared" si="18"/>
        <v>80</v>
      </c>
      <c r="K72" s="8">
        <f t="shared" si="20"/>
        <v>565</v>
      </c>
      <c r="L72" s="8">
        <f t="shared" si="19"/>
        <v>205</v>
      </c>
      <c r="M72" s="8">
        <f t="shared" si="21"/>
        <v>650</v>
      </c>
    </row>
    <row r="73" spans="1:13">
      <c r="A73" s="4" t="s">
        <v>73</v>
      </c>
      <c r="B73" s="10">
        <f>ROUND($C$9*(1+$C$10)^6,0)</f>
        <v>2</v>
      </c>
      <c r="C73" s="10">
        <f>$C$13+(6*$C$14)</f>
        <v>7</v>
      </c>
      <c r="D73" s="8">
        <f t="shared" si="12"/>
        <v>518</v>
      </c>
      <c r="E73" s="8">
        <f t="shared" si="13"/>
        <v>294</v>
      </c>
      <c r="F73" s="8">
        <f t="shared" si="14"/>
        <v>812</v>
      </c>
      <c r="G73" s="8">
        <f t="shared" si="15"/>
        <v>300</v>
      </c>
      <c r="H73" s="8">
        <f t="shared" si="16"/>
        <v>70</v>
      </c>
      <c r="I73" s="8">
        <f t="shared" si="17"/>
        <v>125</v>
      </c>
      <c r="J73" s="8">
        <f t="shared" si="18"/>
        <v>80</v>
      </c>
      <c r="K73" s="8">
        <f t="shared" si="20"/>
        <v>575</v>
      </c>
      <c r="L73" s="8">
        <f t="shared" si="19"/>
        <v>237</v>
      </c>
      <c r="M73" s="8">
        <f t="shared" si="21"/>
        <v>887</v>
      </c>
    </row>
    <row r="74" spans="1:13">
      <c r="A74" s="4" t="s">
        <v>74</v>
      </c>
      <c r="B74" s="10">
        <f>ROUND($C$9*(1+$C$10)^7,0)</f>
        <v>2</v>
      </c>
      <c r="C74" s="10">
        <f>$C$13+(7*$C$14)</f>
        <v>8</v>
      </c>
      <c r="D74" s="8">
        <f t="shared" si="12"/>
        <v>518</v>
      </c>
      <c r="E74" s="8">
        <f t="shared" si="13"/>
        <v>336</v>
      </c>
      <c r="F74" s="8">
        <f t="shared" si="14"/>
        <v>854</v>
      </c>
      <c r="G74" s="8">
        <f t="shared" si="15"/>
        <v>300</v>
      </c>
      <c r="H74" s="8">
        <f t="shared" si="16"/>
        <v>80</v>
      </c>
      <c r="I74" s="8">
        <f t="shared" si="17"/>
        <v>125</v>
      </c>
      <c r="J74" s="8">
        <f t="shared" si="18"/>
        <v>80</v>
      </c>
      <c r="K74" s="8">
        <f t="shared" si="20"/>
        <v>585</v>
      </c>
      <c r="L74" s="8">
        <f t="shared" si="19"/>
        <v>269</v>
      </c>
      <c r="M74" s="8">
        <f t="shared" si="21"/>
        <v>1156</v>
      </c>
    </row>
    <row r="75" spans="1:13">
      <c r="A75" s="4" t="s">
        <v>75</v>
      </c>
      <c r="B75" s="10">
        <f>ROUND($C$9*(1+$C$10)^8,0)</f>
        <v>2</v>
      </c>
      <c r="C75" s="10">
        <f>$C$13+(8*$C$14)</f>
        <v>9</v>
      </c>
      <c r="D75" s="8">
        <f t="shared" si="12"/>
        <v>518</v>
      </c>
      <c r="E75" s="8">
        <f t="shared" si="13"/>
        <v>378</v>
      </c>
      <c r="F75" s="8">
        <f t="shared" si="14"/>
        <v>896</v>
      </c>
      <c r="G75" s="8">
        <f t="shared" si="15"/>
        <v>300</v>
      </c>
      <c r="H75" s="8">
        <f t="shared" si="16"/>
        <v>90</v>
      </c>
      <c r="I75" s="8">
        <f t="shared" si="17"/>
        <v>125</v>
      </c>
      <c r="J75" s="8">
        <f t="shared" si="18"/>
        <v>80</v>
      </c>
      <c r="K75" s="8">
        <f t="shared" si="20"/>
        <v>595</v>
      </c>
      <c r="L75" s="8">
        <f t="shared" si="19"/>
        <v>301</v>
      </c>
      <c r="M75" s="8">
        <f t="shared" si="21"/>
        <v>1457</v>
      </c>
    </row>
    <row r="76" spans="1:13">
      <c r="A76" s="4" t="s">
        <v>76</v>
      </c>
      <c r="B76" s="10">
        <f>ROUND($C$9*(1+$C$10)^9,0)</f>
        <v>2</v>
      </c>
      <c r="C76" s="10">
        <f>$C$13+(9*$C$14)</f>
        <v>10</v>
      </c>
      <c r="D76" s="8">
        <f t="shared" si="12"/>
        <v>518</v>
      </c>
      <c r="E76" s="8">
        <f t="shared" si="13"/>
        <v>420</v>
      </c>
      <c r="F76" s="8">
        <f t="shared" si="14"/>
        <v>938</v>
      </c>
      <c r="G76" s="8">
        <f t="shared" si="15"/>
        <v>300</v>
      </c>
      <c r="H76" s="8">
        <f t="shared" si="16"/>
        <v>100</v>
      </c>
      <c r="I76" s="8">
        <f t="shared" si="17"/>
        <v>125</v>
      </c>
      <c r="J76" s="8">
        <f t="shared" si="18"/>
        <v>80</v>
      </c>
      <c r="K76" s="8">
        <f t="shared" si="20"/>
        <v>605</v>
      </c>
      <c r="L76" s="8">
        <f t="shared" si="19"/>
        <v>333</v>
      </c>
      <c r="M76" s="8">
        <f t="shared" si="21"/>
        <v>1790</v>
      </c>
    </row>
    <row r="77" spans="1:13">
      <c r="A77" s="4" t="s">
        <v>77</v>
      </c>
      <c r="B77" s="10">
        <f>ROUND($C$9*(1+$C$10)^10,0)</f>
        <v>2</v>
      </c>
      <c r="C77" s="10">
        <f>$C$13+(10*$C$14)</f>
        <v>11</v>
      </c>
      <c r="D77" s="8">
        <f t="shared" si="12"/>
        <v>518</v>
      </c>
      <c r="E77" s="8">
        <f t="shared" si="13"/>
        <v>462</v>
      </c>
      <c r="F77" s="8">
        <f t="shared" si="14"/>
        <v>980</v>
      </c>
      <c r="G77" s="8">
        <f t="shared" si="15"/>
        <v>300</v>
      </c>
      <c r="H77" s="8">
        <f t="shared" si="16"/>
        <v>110</v>
      </c>
      <c r="I77" s="8">
        <f t="shared" si="17"/>
        <v>125</v>
      </c>
      <c r="J77" s="8">
        <f t="shared" si="18"/>
        <v>80</v>
      </c>
      <c r="K77" s="8">
        <f t="shared" si="20"/>
        <v>615</v>
      </c>
      <c r="L77" s="8">
        <f t="shared" si="19"/>
        <v>365</v>
      </c>
      <c r="M77" s="8">
        <f t="shared" si="21"/>
        <v>2155</v>
      </c>
    </row>
    <row r="78" spans="1:13">
      <c r="A78" s="4" t="s">
        <v>78</v>
      </c>
      <c r="B78" s="10">
        <f>ROUND($C$9*(1+$C$10)^11,0)</f>
        <v>2</v>
      </c>
      <c r="C78" s="10">
        <f>$C$13+(11*$C$14)</f>
        <v>12</v>
      </c>
      <c r="D78" s="8">
        <f t="shared" si="12"/>
        <v>518</v>
      </c>
      <c r="E78" s="8">
        <f t="shared" si="13"/>
        <v>504</v>
      </c>
      <c r="F78" s="8">
        <f t="shared" si="14"/>
        <v>1022</v>
      </c>
      <c r="G78" s="8">
        <f t="shared" si="15"/>
        <v>300</v>
      </c>
      <c r="H78" s="8">
        <f t="shared" si="16"/>
        <v>120</v>
      </c>
      <c r="I78" s="8">
        <f t="shared" si="17"/>
        <v>125</v>
      </c>
      <c r="J78" s="8">
        <f t="shared" si="18"/>
        <v>80</v>
      </c>
      <c r="K78" s="8">
        <f t="shared" si="20"/>
        <v>625</v>
      </c>
      <c r="L78" s="8">
        <f t="shared" si="19"/>
        <v>397</v>
      </c>
      <c r="M78" s="8">
        <f t="shared" si="21"/>
        <v>2552</v>
      </c>
    </row>
    <row r="79" spans="1:13">
      <c r="A79" s="4"/>
      <c r="B79" s="4"/>
      <c r="C79" s="4"/>
      <c r="D79" s="4"/>
      <c r="E79" s="4"/>
      <c r="F79" s="4"/>
      <c r="G79" s="4"/>
      <c r="H79" s="4"/>
      <c r="I79" s="4"/>
      <c r="J79" s="4"/>
      <c r="K79" s="4"/>
      <c r="L79" s="4"/>
      <c r="M79" s="4"/>
    </row>
    <row r="80" spans="1:13" ht="15">
      <c r="A80" s="18" t="s">
        <v>79</v>
      </c>
      <c r="B80" s="19">
        <f>SUM(B67:B78)</f>
        <v>24</v>
      </c>
      <c r="C80" s="18">
        <f>C78</f>
        <v>12</v>
      </c>
      <c r="D80" s="20">
        <f t="shared" ref="D80:L80" si="22">SUM(D67:D78)</f>
        <v>6216</v>
      </c>
      <c r="E80" s="20">
        <f t="shared" si="22"/>
        <v>3276</v>
      </c>
      <c r="F80" s="20">
        <f t="shared" si="22"/>
        <v>9492</v>
      </c>
      <c r="G80" s="20">
        <f t="shared" si="22"/>
        <v>3600</v>
      </c>
      <c r="H80" s="20">
        <f t="shared" si="22"/>
        <v>780</v>
      </c>
      <c r="I80" s="20">
        <f t="shared" si="22"/>
        <v>1500</v>
      </c>
      <c r="J80" s="20">
        <f t="shared" si="22"/>
        <v>960</v>
      </c>
      <c r="K80" s="20">
        <f t="shared" si="22"/>
        <v>6940</v>
      </c>
      <c r="L80" s="20">
        <f t="shared" si="22"/>
        <v>2552</v>
      </c>
      <c r="M80" s="20">
        <f>M78</f>
        <v>2552</v>
      </c>
    </row>
    <row r="81" spans="1:13">
      <c r="A81" s="4"/>
      <c r="B81" s="4"/>
      <c r="C81" s="4"/>
      <c r="D81" s="4"/>
      <c r="E81" s="4"/>
      <c r="F81" s="4"/>
      <c r="G81" s="4"/>
      <c r="H81" s="4"/>
      <c r="I81" s="4"/>
      <c r="J81" s="4"/>
      <c r="K81" s="4"/>
      <c r="L81" s="4"/>
      <c r="M81" s="4"/>
    </row>
    <row r="82" spans="1:13" ht="15">
      <c r="A82" s="22" t="s">
        <v>81</v>
      </c>
      <c r="B82" s="22"/>
      <c r="C82" s="22"/>
      <c r="D82" s="22"/>
      <c r="E82" s="22"/>
      <c r="F82" s="22"/>
      <c r="G82" s="22"/>
      <c r="H82" s="22"/>
      <c r="I82" s="22"/>
      <c r="J82" s="22"/>
      <c r="K82" s="22"/>
      <c r="L82" s="22"/>
      <c r="M82" s="22"/>
    </row>
    <row r="83" spans="1:13" ht="30">
      <c r="A83" s="1" t="s">
        <v>54</v>
      </c>
      <c r="B83" s="1" t="s">
        <v>55</v>
      </c>
      <c r="C83" s="1" t="s">
        <v>56</v>
      </c>
      <c r="D83" s="1" t="s">
        <v>57</v>
      </c>
      <c r="E83" s="1" t="s">
        <v>58</v>
      </c>
      <c r="F83" s="1" t="s">
        <v>59</v>
      </c>
      <c r="G83" s="1" t="s">
        <v>60</v>
      </c>
      <c r="H83" s="1" t="s">
        <v>61</v>
      </c>
      <c r="I83" s="1" t="s">
        <v>62</v>
      </c>
      <c r="J83" s="1" t="s">
        <v>63</v>
      </c>
      <c r="K83" s="1" t="s">
        <v>64</v>
      </c>
      <c r="L83" s="1" t="s">
        <v>65</v>
      </c>
      <c r="M83" s="1" t="s">
        <v>66</v>
      </c>
    </row>
    <row r="84" spans="1:13">
      <c r="A84" s="4" t="s">
        <v>67</v>
      </c>
      <c r="B84" s="10">
        <f>ROUND($D$9*(1+$D$10)^0,0)</f>
        <v>3</v>
      </c>
      <c r="C84" s="10">
        <f>$D$13+(0*$D$14)</f>
        <v>2</v>
      </c>
      <c r="D84" s="8">
        <f t="shared" ref="D84:D95" si="23">B84*$D$8</f>
        <v>837</v>
      </c>
      <c r="E84" s="8">
        <f t="shared" ref="E84:E95" si="24">C84*$D$12</f>
        <v>88</v>
      </c>
      <c r="F84" s="8">
        <f t="shared" ref="F84:F95" si="25">D84+E84</f>
        <v>925</v>
      </c>
      <c r="G84" s="8">
        <f t="shared" ref="G84:G95" si="26">B84*$D$11</f>
        <v>438</v>
      </c>
      <c r="H84" s="8">
        <f t="shared" ref="H84:H95" si="27">C84*$D$17</f>
        <v>20</v>
      </c>
      <c r="I84" s="8">
        <f t="shared" ref="I84:I95" si="28">$D$15</f>
        <v>100</v>
      </c>
      <c r="J84" s="8">
        <f t="shared" ref="J84:J95" si="29">$D$16</f>
        <v>80</v>
      </c>
      <c r="K84" s="8">
        <f>G84+H84+I84+J84+$D$18</f>
        <v>738</v>
      </c>
      <c r="L84" s="8">
        <f t="shared" ref="L84:L95" si="30">F84-K84</f>
        <v>187</v>
      </c>
      <c r="M84" s="8">
        <f>L84</f>
        <v>187</v>
      </c>
    </row>
    <row r="85" spans="1:13">
      <c r="A85" s="4" t="s">
        <v>68</v>
      </c>
      <c r="B85" s="10">
        <f>ROUND($D$9*(1+$D$10)^1,0)</f>
        <v>3</v>
      </c>
      <c r="C85" s="10">
        <f>$D$13+(1*$D$14)</f>
        <v>3</v>
      </c>
      <c r="D85" s="8">
        <f t="shared" si="23"/>
        <v>837</v>
      </c>
      <c r="E85" s="8">
        <f t="shared" si="24"/>
        <v>132</v>
      </c>
      <c r="F85" s="8">
        <f t="shared" si="25"/>
        <v>969</v>
      </c>
      <c r="G85" s="8">
        <f t="shared" si="26"/>
        <v>438</v>
      </c>
      <c r="H85" s="8">
        <f t="shared" si="27"/>
        <v>30</v>
      </c>
      <c r="I85" s="8">
        <f t="shared" si="28"/>
        <v>100</v>
      </c>
      <c r="J85" s="8">
        <f t="shared" si="29"/>
        <v>80</v>
      </c>
      <c r="K85" s="8">
        <f t="shared" ref="K85:K95" si="31">G85+H85+I85+J85</f>
        <v>648</v>
      </c>
      <c r="L85" s="8">
        <f t="shared" si="30"/>
        <v>321</v>
      </c>
      <c r="M85" s="8">
        <f t="shared" ref="M85:M95" si="32">M84+L85</f>
        <v>508</v>
      </c>
    </row>
    <row r="86" spans="1:13">
      <c r="A86" s="4" t="s">
        <v>69</v>
      </c>
      <c r="B86" s="10">
        <f>ROUND($D$9*(1+$D$10)^2,0)</f>
        <v>3</v>
      </c>
      <c r="C86" s="10">
        <f>$D$13+(2*$D$14)</f>
        <v>4</v>
      </c>
      <c r="D86" s="8">
        <f t="shared" si="23"/>
        <v>837</v>
      </c>
      <c r="E86" s="8">
        <f t="shared" si="24"/>
        <v>176</v>
      </c>
      <c r="F86" s="8">
        <f t="shared" si="25"/>
        <v>1013</v>
      </c>
      <c r="G86" s="8">
        <f t="shared" si="26"/>
        <v>438</v>
      </c>
      <c r="H86" s="8">
        <f t="shared" si="27"/>
        <v>40</v>
      </c>
      <c r="I86" s="8">
        <f t="shared" si="28"/>
        <v>100</v>
      </c>
      <c r="J86" s="8">
        <f t="shared" si="29"/>
        <v>80</v>
      </c>
      <c r="K86" s="8">
        <f t="shared" si="31"/>
        <v>658</v>
      </c>
      <c r="L86" s="8">
        <f t="shared" si="30"/>
        <v>355</v>
      </c>
      <c r="M86" s="8">
        <f t="shared" si="32"/>
        <v>863</v>
      </c>
    </row>
    <row r="87" spans="1:13">
      <c r="A87" s="4" t="s">
        <v>70</v>
      </c>
      <c r="B87" s="10">
        <f>ROUND($D$9*(1+$D$10)^3,0)</f>
        <v>3</v>
      </c>
      <c r="C87" s="10">
        <f>$D$13+(3*$D$14)</f>
        <v>5</v>
      </c>
      <c r="D87" s="8">
        <f t="shared" si="23"/>
        <v>837</v>
      </c>
      <c r="E87" s="8">
        <f t="shared" si="24"/>
        <v>220</v>
      </c>
      <c r="F87" s="8">
        <f t="shared" si="25"/>
        <v>1057</v>
      </c>
      <c r="G87" s="8">
        <f t="shared" si="26"/>
        <v>438</v>
      </c>
      <c r="H87" s="8">
        <f t="shared" si="27"/>
        <v>50</v>
      </c>
      <c r="I87" s="8">
        <f t="shared" si="28"/>
        <v>100</v>
      </c>
      <c r="J87" s="8">
        <f t="shared" si="29"/>
        <v>80</v>
      </c>
      <c r="K87" s="8">
        <f t="shared" si="31"/>
        <v>668</v>
      </c>
      <c r="L87" s="8">
        <f t="shared" si="30"/>
        <v>389</v>
      </c>
      <c r="M87" s="8">
        <f t="shared" si="32"/>
        <v>1252</v>
      </c>
    </row>
    <row r="88" spans="1:13">
      <c r="A88" s="4" t="s">
        <v>71</v>
      </c>
      <c r="B88" s="10">
        <f>ROUND($D$9*(1+$D$10)^4,0)</f>
        <v>4</v>
      </c>
      <c r="C88" s="10">
        <f>$D$13+(4*$D$14)</f>
        <v>6</v>
      </c>
      <c r="D88" s="8">
        <f t="shared" si="23"/>
        <v>1116</v>
      </c>
      <c r="E88" s="8">
        <f t="shared" si="24"/>
        <v>264</v>
      </c>
      <c r="F88" s="8">
        <f t="shared" si="25"/>
        <v>1380</v>
      </c>
      <c r="G88" s="8">
        <f t="shared" si="26"/>
        <v>584</v>
      </c>
      <c r="H88" s="8">
        <f t="shared" si="27"/>
        <v>60</v>
      </c>
      <c r="I88" s="8">
        <f t="shared" si="28"/>
        <v>100</v>
      </c>
      <c r="J88" s="8">
        <f t="shared" si="29"/>
        <v>80</v>
      </c>
      <c r="K88" s="8">
        <f t="shared" si="31"/>
        <v>824</v>
      </c>
      <c r="L88" s="8">
        <f t="shared" si="30"/>
        <v>556</v>
      </c>
      <c r="M88" s="8">
        <f t="shared" si="32"/>
        <v>1808</v>
      </c>
    </row>
    <row r="89" spans="1:13">
      <c r="A89" s="4" t="s">
        <v>72</v>
      </c>
      <c r="B89" s="10">
        <f>ROUND($D$9*(1+$D$10)^5,0)</f>
        <v>4</v>
      </c>
      <c r="C89" s="10">
        <f>$D$13+(5*$D$14)</f>
        <v>7</v>
      </c>
      <c r="D89" s="8">
        <f t="shared" si="23"/>
        <v>1116</v>
      </c>
      <c r="E89" s="8">
        <f t="shared" si="24"/>
        <v>308</v>
      </c>
      <c r="F89" s="8">
        <f t="shared" si="25"/>
        <v>1424</v>
      </c>
      <c r="G89" s="8">
        <f t="shared" si="26"/>
        <v>584</v>
      </c>
      <c r="H89" s="8">
        <f t="shared" si="27"/>
        <v>70</v>
      </c>
      <c r="I89" s="8">
        <f t="shared" si="28"/>
        <v>100</v>
      </c>
      <c r="J89" s="8">
        <f t="shared" si="29"/>
        <v>80</v>
      </c>
      <c r="K89" s="8">
        <f t="shared" si="31"/>
        <v>834</v>
      </c>
      <c r="L89" s="8">
        <f t="shared" si="30"/>
        <v>590</v>
      </c>
      <c r="M89" s="8">
        <f t="shared" si="32"/>
        <v>2398</v>
      </c>
    </row>
    <row r="90" spans="1:13">
      <c r="A90" s="4" t="s">
        <v>73</v>
      </c>
      <c r="B90" s="10">
        <f>ROUND($D$9*(1+$D$10)^6,0)</f>
        <v>4</v>
      </c>
      <c r="C90" s="10">
        <f>$D$13+(6*$D$14)</f>
        <v>8</v>
      </c>
      <c r="D90" s="8">
        <f t="shared" si="23"/>
        <v>1116</v>
      </c>
      <c r="E90" s="8">
        <f t="shared" si="24"/>
        <v>352</v>
      </c>
      <c r="F90" s="8">
        <f t="shared" si="25"/>
        <v>1468</v>
      </c>
      <c r="G90" s="8">
        <f t="shared" si="26"/>
        <v>584</v>
      </c>
      <c r="H90" s="8">
        <f t="shared" si="27"/>
        <v>80</v>
      </c>
      <c r="I90" s="8">
        <f t="shared" si="28"/>
        <v>100</v>
      </c>
      <c r="J90" s="8">
        <f t="shared" si="29"/>
        <v>80</v>
      </c>
      <c r="K90" s="8">
        <f t="shared" si="31"/>
        <v>844</v>
      </c>
      <c r="L90" s="8">
        <f t="shared" si="30"/>
        <v>624</v>
      </c>
      <c r="M90" s="8">
        <f t="shared" si="32"/>
        <v>3022</v>
      </c>
    </row>
    <row r="91" spans="1:13">
      <c r="A91" s="4" t="s">
        <v>74</v>
      </c>
      <c r="B91" s="10">
        <f>ROUND($D$9*(1+$D$10)^7,0)</f>
        <v>4</v>
      </c>
      <c r="C91" s="10">
        <f>$D$13+(7*$D$14)</f>
        <v>9</v>
      </c>
      <c r="D91" s="8">
        <f t="shared" si="23"/>
        <v>1116</v>
      </c>
      <c r="E91" s="8">
        <f t="shared" si="24"/>
        <v>396</v>
      </c>
      <c r="F91" s="8">
        <f t="shared" si="25"/>
        <v>1512</v>
      </c>
      <c r="G91" s="8">
        <f t="shared" si="26"/>
        <v>584</v>
      </c>
      <c r="H91" s="8">
        <f t="shared" si="27"/>
        <v>90</v>
      </c>
      <c r="I91" s="8">
        <f t="shared" si="28"/>
        <v>100</v>
      </c>
      <c r="J91" s="8">
        <f t="shared" si="29"/>
        <v>80</v>
      </c>
      <c r="K91" s="8">
        <f t="shared" si="31"/>
        <v>854</v>
      </c>
      <c r="L91" s="8">
        <f t="shared" si="30"/>
        <v>658</v>
      </c>
      <c r="M91" s="8">
        <f t="shared" si="32"/>
        <v>3680</v>
      </c>
    </row>
    <row r="92" spans="1:13">
      <c r="A92" s="4" t="s">
        <v>75</v>
      </c>
      <c r="B92" s="10">
        <f>ROUND($D$9*(1+$D$10)^8,0)</f>
        <v>4</v>
      </c>
      <c r="C92" s="10">
        <f>$D$13+(8*$D$14)</f>
        <v>10</v>
      </c>
      <c r="D92" s="8">
        <f t="shared" si="23"/>
        <v>1116</v>
      </c>
      <c r="E92" s="8">
        <f t="shared" si="24"/>
        <v>440</v>
      </c>
      <c r="F92" s="8">
        <f t="shared" si="25"/>
        <v>1556</v>
      </c>
      <c r="G92" s="8">
        <f t="shared" si="26"/>
        <v>584</v>
      </c>
      <c r="H92" s="8">
        <f t="shared" si="27"/>
        <v>100</v>
      </c>
      <c r="I92" s="8">
        <f t="shared" si="28"/>
        <v>100</v>
      </c>
      <c r="J92" s="8">
        <f t="shared" si="29"/>
        <v>80</v>
      </c>
      <c r="K92" s="8">
        <f t="shared" si="31"/>
        <v>864</v>
      </c>
      <c r="L92" s="8">
        <f t="shared" si="30"/>
        <v>692</v>
      </c>
      <c r="M92" s="8">
        <f t="shared" si="32"/>
        <v>4372</v>
      </c>
    </row>
    <row r="93" spans="1:13">
      <c r="A93" s="4" t="s">
        <v>76</v>
      </c>
      <c r="B93" s="10">
        <f>ROUND($D$9*(1+$D$10)^9,0)</f>
        <v>5</v>
      </c>
      <c r="C93" s="10">
        <f>$D$13+(9*$D$14)</f>
        <v>11</v>
      </c>
      <c r="D93" s="8">
        <f t="shared" si="23"/>
        <v>1395</v>
      </c>
      <c r="E93" s="8">
        <f t="shared" si="24"/>
        <v>484</v>
      </c>
      <c r="F93" s="8">
        <f t="shared" si="25"/>
        <v>1879</v>
      </c>
      <c r="G93" s="8">
        <f t="shared" si="26"/>
        <v>730</v>
      </c>
      <c r="H93" s="8">
        <f t="shared" si="27"/>
        <v>110</v>
      </c>
      <c r="I93" s="8">
        <f t="shared" si="28"/>
        <v>100</v>
      </c>
      <c r="J93" s="8">
        <f t="shared" si="29"/>
        <v>80</v>
      </c>
      <c r="K93" s="8">
        <f t="shared" si="31"/>
        <v>1020</v>
      </c>
      <c r="L93" s="8">
        <f t="shared" si="30"/>
        <v>859</v>
      </c>
      <c r="M93" s="8">
        <f t="shared" si="32"/>
        <v>5231</v>
      </c>
    </row>
    <row r="94" spans="1:13">
      <c r="A94" s="4" t="s">
        <v>77</v>
      </c>
      <c r="B94" s="10">
        <f>ROUND($D$9*(1+$D$10)^10,0)</f>
        <v>5</v>
      </c>
      <c r="C94" s="10">
        <f>$D$13+(10*$D$14)</f>
        <v>12</v>
      </c>
      <c r="D94" s="8">
        <f t="shared" si="23"/>
        <v>1395</v>
      </c>
      <c r="E94" s="8">
        <f t="shared" si="24"/>
        <v>528</v>
      </c>
      <c r="F94" s="8">
        <f t="shared" si="25"/>
        <v>1923</v>
      </c>
      <c r="G94" s="8">
        <f t="shared" si="26"/>
        <v>730</v>
      </c>
      <c r="H94" s="8">
        <f t="shared" si="27"/>
        <v>120</v>
      </c>
      <c r="I94" s="8">
        <f t="shared" si="28"/>
        <v>100</v>
      </c>
      <c r="J94" s="8">
        <f t="shared" si="29"/>
        <v>80</v>
      </c>
      <c r="K94" s="8">
        <f t="shared" si="31"/>
        <v>1030</v>
      </c>
      <c r="L94" s="8">
        <f t="shared" si="30"/>
        <v>893</v>
      </c>
      <c r="M94" s="8">
        <f t="shared" si="32"/>
        <v>6124</v>
      </c>
    </row>
    <row r="95" spans="1:13">
      <c r="A95" s="4" t="s">
        <v>78</v>
      </c>
      <c r="B95" s="10">
        <f>ROUND($D$9*(1+$D$10)^11,0)</f>
        <v>5</v>
      </c>
      <c r="C95" s="10">
        <f>$D$13+(11*$D$14)</f>
        <v>13</v>
      </c>
      <c r="D95" s="8">
        <f t="shared" si="23"/>
        <v>1395</v>
      </c>
      <c r="E95" s="8">
        <f t="shared" si="24"/>
        <v>572</v>
      </c>
      <c r="F95" s="8">
        <f t="shared" si="25"/>
        <v>1967</v>
      </c>
      <c r="G95" s="8">
        <f t="shared" si="26"/>
        <v>730</v>
      </c>
      <c r="H95" s="8">
        <f t="shared" si="27"/>
        <v>130</v>
      </c>
      <c r="I95" s="8">
        <f t="shared" si="28"/>
        <v>100</v>
      </c>
      <c r="J95" s="8">
        <f t="shared" si="29"/>
        <v>80</v>
      </c>
      <c r="K95" s="8">
        <f t="shared" si="31"/>
        <v>1040</v>
      </c>
      <c r="L95" s="8">
        <f t="shared" si="30"/>
        <v>927</v>
      </c>
      <c r="M95" s="8">
        <f t="shared" si="32"/>
        <v>7051</v>
      </c>
    </row>
    <row r="96" spans="1:13">
      <c r="A96" s="4"/>
      <c r="B96" s="4"/>
      <c r="C96" s="4"/>
      <c r="D96" s="4"/>
      <c r="E96" s="4"/>
      <c r="F96" s="4"/>
      <c r="G96" s="4"/>
      <c r="H96" s="4"/>
      <c r="I96" s="4"/>
      <c r="J96" s="4"/>
      <c r="K96" s="4"/>
      <c r="L96" s="4"/>
      <c r="M96" s="4"/>
    </row>
    <row r="97" spans="1:13" ht="15">
      <c r="A97" s="18" t="s">
        <v>79</v>
      </c>
      <c r="B97" s="19">
        <f>SUM(B84:B95)</f>
        <v>47</v>
      </c>
      <c r="C97" s="18">
        <f>C95</f>
        <v>13</v>
      </c>
      <c r="D97" s="20">
        <f t="shared" ref="D97:L97" si="33">SUM(D84:D95)</f>
        <v>13113</v>
      </c>
      <c r="E97" s="20">
        <f t="shared" si="33"/>
        <v>3960</v>
      </c>
      <c r="F97" s="20">
        <f t="shared" si="33"/>
        <v>17073</v>
      </c>
      <c r="G97" s="20">
        <f t="shared" si="33"/>
        <v>6862</v>
      </c>
      <c r="H97" s="20">
        <f t="shared" si="33"/>
        <v>900</v>
      </c>
      <c r="I97" s="20">
        <f t="shared" si="33"/>
        <v>1200</v>
      </c>
      <c r="J97" s="20">
        <f t="shared" si="33"/>
        <v>960</v>
      </c>
      <c r="K97" s="20">
        <f t="shared" si="33"/>
        <v>10022</v>
      </c>
      <c r="L97" s="20">
        <f t="shared" si="33"/>
        <v>7051</v>
      </c>
      <c r="M97" s="20">
        <f>M95</f>
        <v>7051</v>
      </c>
    </row>
    <row r="98" spans="1:13">
      <c r="A98" s="4"/>
      <c r="B98" s="4"/>
      <c r="C98" s="4"/>
      <c r="D98" s="4"/>
      <c r="E98" s="4"/>
      <c r="F98" s="4"/>
      <c r="G98" s="4"/>
      <c r="H98" s="4"/>
      <c r="I98" s="4"/>
      <c r="J98" s="4"/>
      <c r="K98" s="4"/>
      <c r="L98" s="4"/>
      <c r="M98" s="4"/>
    </row>
    <row r="99" spans="1:13" ht="15">
      <c r="A99" s="22" t="s">
        <v>82</v>
      </c>
      <c r="B99" s="22"/>
      <c r="C99" s="22"/>
      <c r="D99" s="22"/>
      <c r="E99" s="22"/>
      <c r="F99" s="22"/>
      <c r="G99" s="22"/>
      <c r="H99" s="22"/>
      <c r="I99" s="22"/>
      <c r="J99" s="22"/>
      <c r="K99" s="22"/>
      <c r="L99" s="22"/>
      <c r="M99" s="22"/>
    </row>
    <row r="100" spans="1:13" ht="30">
      <c r="A100" s="1" t="s">
        <v>54</v>
      </c>
      <c r="B100" s="1" t="s">
        <v>55</v>
      </c>
      <c r="C100" s="1" t="s">
        <v>56</v>
      </c>
      <c r="D100" s="1" t="s">
        <v>57</v>
      </c>
      <c r="E100" s="1" t="s">
        <v>58</v>
      </c>
      <c r="F100" s="1" t="s">
        <v>59</v>
      </c>
      <c r="G100" s="1" t="s">
        <v>60</v>
      </c>
      <c r="H100" s="1" t="s">
        <v>61</v>
      </c>
      <c r="I100" s="1" t="s">
        <v>62</v>
      </c>
      <c r="J100" s="1" t="s">
        <v>63</v>
      </c>
      <c r="K100" s="1" t="s">
        <v>64</v>
      </c>
      <c r="L100" s="1" t="s">
        <v>65</v>
      </c>
      <c r="M100" s="1" t="s">
        <v>66</v>
      </c>
    </row>
    <row r="101" spans="1:13">
      <c r="A101" s="4" t="s">
        <v>67</v>
      </c>
      <c r="B101" s="10">
        <f>ROUND($E$9*(1+$E$10)^0,0)</f>
        <v>4</v>
      </c>
      <c r="C101" s="10">
        <f>$E$13+(0*$E$14)</f>
        <v>3</v>
      </c>
      <c r="D101" s="8">
        <f t="shared" ref="D101:D112" si="34">B101*$E$8</f>
        <v>1156</v>
      </c>
      <c r="E101" s="8">
        <f t="shared" ref="E101:E112" si="35">C101*$E$12</f>
        <v>141</v>
      </c>
      <c r="F101" s="8">
        <f t="shared" ref="F101:F112" si="36">D101+E101</f>
        <v>1297</v>
      </c>
      <c r="G101" s="8">
        <f t="shared" ref="G101:G112" si="37">B101*$E$11</f>
        <v>576</v>
      </c>
      <c r="H101" s="8">
        <f t="shared" ref="H101:H112" si="38">C101*$E$17</f>
        <v>30</v>
      </c>
      <c r="I101" s="8">
        <f t="shared" ref="I101:I112" si="39">$E$15</f>
        <v>120</v>
      </c>
      <c r="J101" s="8">
        <f t="shared" ref="J101:J112" si="40">$E$16</f>
        <v>90</v>
      </c>
      <c r="K101" s="8">
        <f>G101+H101+I101+J101+$E$18</f>
        <v>916</v>
      </c>
      <c r="L101" s="8">
        <f t="shared" ref="L101:L112" si="41">F101-K101</f>
        <v>381</v>
      </c>
      <c r="M101" s="8">
        <f>L101</f>
        <v>381</v>
      </c>
    </row>
    <row r="102" spans="1:13">
      <c r="A102" s="4" t="s">
        <v>68</v>
      </c>
      <c r="B102" s="10">
        <f>ROUND($E$9*(1+$E$10)^1,0)</f>
        <v>4</v>
      </c>
      <c r="C102" s="10">
        <f>$E$13+(1*$E$14)</f>
        <v>5</v>
      </c>
      <c r="D102" s="8">
        <f t="shared" si="34"/>
        <v>1156</v>
      </c>
      <c r="E102" s="8">
        <f t="shared" si="35"/>
        <v>235</v>
      </c>
      <c r="F102" s="8">
        <f t="shared" si="36"/>
        <v>1391</v>
      </c>
      <c r="G102" s="8">
        <f t="shared" si="37"/>
        <v>576</v>
      </c>
      <c r="H102" s="8">
        <f t="shared" si="38"/>
        <v>50</v>
      </c>
      <c r="I102" s="8">
        <f t="shared" si="39"/>
        <v>120</v>
      </c>
      <c r="J102" s="8">
        <f t="shared" si="40"/>
        <v>90</v>
      </c>
      <c r="K102" s="8">
        <f t="shared" ref="K102:K112" si="42">G102+H102+I102+J102</f>
        <v>836</v>
      </c>
      <c r="L102" s="8">
        <f t="shared" si="41"/>
        <v>555</v>
      </c>
      <c r="M102" s="8">
        <f t="shared" ref="M102:M112" si="43">M101+L102</f>
        <v>936</v>
      </c>
    </row>
    <row r="103" spans="1:13">
      <c r="A103" s="4" t="s">
        <v>69</v>
      </c>
      <c r="B103" s="10">
        <f>ROUND($E$9*(1+$E$10)^2,0)</f>
        <v>4</v>
      </c>
      <c r="C103" s="10">
        <f>$E$13+(2*$E$14)</f>
        <v>7</v>
      </c>
      <c r="D103" s="8">
        <f t="shared" si="34"/>
        <v>1156</v>
      </c>
      <c r="E103" s="8">
        <f t="shared" si="35"/>
        <v>329</v>
      </c>
      <c r="F103" s="8">
        <f t="shared" si="36"/>
        <v>1485</v>
      </c>
      <c r="G103" s="8">
        <f t="shared" si="37"/>
        <v>576</v>
      </c>
      <c r="H103" s="8">
        <f t="shared" si="38"/>
        <v>70</v>
      </c>
      <c r="I103" s="8">
        <f t="shared" si="39"/>
        <v>120</v>
      </c>
      <c r="J103" s="8">
        <f t="shared" si="40"/>
        <v>90</v>
      </c>
      <c r="K103" s="8">
        <f t="shared" si="42"/>
        <v>856</v>
      </c>
      <c r="L103" s="8">
        <f t="shared" si="41"/>
        <v>629</v>
      </c>
      <c r="M103" s="8">
        <f t="shared" si="43"/>
        <v>1565</v>
      </c>
    </row>
    <row r="104" spans="1:13">
      <c r="A104" s="4" t="s">
        <v>70</v>
      </c>
      <c r="B104" s="10">
        <f>ROUND($E$9*(1+$E$10)^3,0)</f>
        <v>5</v>
      </c>
      <c r="C104" s="10">
        <f>$E$13+(3*$E$14)</f>
        <v>9</v>
      </c>
      <c r="D104" s="8">
        <f t="shared" si="34"/>
        <v>1445</v>
      </c>
      <c r="E104" s="8">
        <f t="shared" si="35"/>
        <v>423</v>
      </c>
      <c r="F104" s="8">
        <f t="shared" si="36"/>
        <v>1868</v>
      </c>
      <c r="G104" s="8">
        <f t="shared" si="37"/>
        <v>720</v>
      </c>
      <c r="H104" s="8">
        <f t="shared" si="38"/>
        <v>90</v>
      </c>
      <c r="I104" s="8">
        <f t="shared" si="39"/>
        <v>120</v>
      </c>
      <c r="J104" s="8">
        <f t="shared" si="40"/>
        <v>90</v>
      </c>
      <c r="K104" s="8">
        <f t="shared" si="42"/>
        <v>1020</v>
      </c>
      <c r="L104" s="8">
        <f t="shared" si="41"/>
        <v>848</v>
      </c>
      <c r="M104" s="8">
        <f t="shared" si="43"/>
        <v>2413</v>
      </c>
    </row>
    <row r="105" spans="1:13">
      <c r="A105" s="4" t="s">
        <v>71</v>
      </c>
      <c r="B105" s="10">
        <f>ROUND($E$9*(1+$E$10)^4,0)</f>
        <v>5</v>
      </c>
      <c r="C105" s="10">
        <f>$E$13+(4*$E$14)</f>
        <v>11</v>
      </c>
      <c r="D105" s="8">
        <f t="shared" si="34"/>
        <v>1445</v>
      </c>
      <c r="E105" s="8">
        <f t="shared" si="35"/>
        <v>517</v>
      </c>
      <c r="F105" s="8">
        <f t="shared" si="36"/>
        <v>1962</v>
      </c>
      <c r="G105" s="8">
        <f t="shared" si="37"/>
        <v>720</v>
      </c>
      <c r="H105" s="8">
        <f t="shared" si="38"/>
        <v>110</v>
      </c>
      <c r="I105" s="8">
        <f t="shared" si="39"/>
        <v>120</v>
      </c>
      <c r="J105" s="8">
        <f t="shared" si="40"/>
        <v>90</v>
      </c>
      <c r="K105" s="8">
        <f t="shared" si="42"/>
        <v>1040</v>
      </c>
      <c r="L105" s="8">
        <f t="shared" si="41"/>
        <v>922</v>
      </c>
      <c r="M105" s="8">
        <f t="shared" si="43"/>
        <v>3335</v>
      </c>
    </row>
    <row r="106" spans="1:13">
      <c r="A106" s="4" t="s">
        <v>72</v>
      </c>
      <c r="B106" s="10">
        <f>ROUND($E$9*(1+$E$10)^5,0)</f>
        <v>5</v>
      </c>
      <c r="C106" s="10">
        <f>$E$13+(5*$E$14)</f>
        <v>13</v>
      </c>
      <c r="D106" s="8">
        <f t="shared" si="34"/>
        <v>1445</v>
      </c>
      <c r="E106" s="8">
        <f t="shared" si="35"/>
        <v>611</v>
      </c>
      <c r="F106" s="8">
        <f t="shared" si="36"/>
        <v>2056</v>
      </c>
      <c r="G106" s="8">
        <f t="shared" si="37"/>
        <v>720</v>
      </c>
      <c r="H106" s="8">
        <f t="shared" si="38"/>
        <v>130</v>
      </c>
      <c r="I106" s="8">
        <f t="shared" si="39"/>
        <v>120</v>
      </c>
      <c r="J106" s="8">
        <f t="shared" si="40"/>
        <v>90</v>
      </c>
      <c r="K106" s="8">
        <f t="shared" si="42"/>
        <v>1060</v>
      </c>
      <c r="L106" s="8">
        <f t="shared" si="41"/>
        <v>996</v>
      </c>
      <c r="M106" s="8">
        <f t="shared" si="43"/>
        <v>4331</v>
      </c>
    </row>
    <row r="107" spans="1:13">
      <c r="A107" s="4" t="s">
        <v>73</v>
      </c>
      <c r="B107" s="10">
        <f>ROUND($E$9*(1+$E$10)^6,0)</f>
        <v>6</v>
      </c>
      <c r="C107" s="10">
        <f>$E$13+(6*$E$14)</f>
        <v>15</v>
      </c>
      <c r="D107" s="8">
        <f t="shared" si="34"/>
        <v>1734</v>
      </c>
      <c r="E107" s="8">
        <f t="shared" si="35"/>
        <v>705</v>
      </c>
      <c r="F107" s="8">
        <f t="shared" si="36"/>
        <v>2439</v>
      </c>
      <c r="G107" s="8">
        <f t="shared" si="37"/>
        <v>864</v>
      </c>
      <c r="H107" s="8">
        <f t="shared" si="38"/>
        <v>150</v>
      </c>
      <c r="I107" s="8">
        <f t="shared" si="39"/>
        <v>120</v>
      </c>
      <c r="J107" s="8">
        <f t="shared" si="40"/>
        <v>90</v>
      </c>
      <c r="K107" s="8">
        <f t="shared" si="42"/>
        <v>1224</v>
      </c>
      <c r="L107" s="8">
        <f t="shared" si="41"/>
        <v>1215</v>
      </c>
      <c r="M107" s="8">
        <f t="shared" si="43"/>
        <v>5546</v>
      </c>
    </row>
    <row r="108" spans="1:13">
      <c r="A108" s="4" t="s">
        <v>74</v>
      </c>
      <c r="B108" s="10">
        <f>ROUND($E$9*(1+$E$10)^7,0)</f>
        <v>6</v>
      </c>
      <c r="C108" s="10">
        <f>$E$13+(7*$E$14)</f>
        <v>17</v>
      </c>
      <c r="D108" s="8">
        <f t="shared" si="34"/>
        <v>1734</v>
      </c>
      <c r="E108" s="8">
        <f t="shared" si="35"/>
        <v>799</v>
      </c>
      <c r="F108" s="8">
        <f t="shared" si="36"/>
        <v>2533</v>
      </c>
      <c r="G108" s="8">
        <f t="shared" si="37"/>
        <v>864</v>
      </c>
      <c r="H108" s="8">
        <f t="shared" si="38"/>
        <v>170</v>
      </c>
      <c r="I108" s="8">
        <f t="shared" si="39"/>
        <v>120</v>
      </c>
      <c r="J108" s="8">
        <f t="shared" si="40"/>
        <v>90</v>
      </c>
      <c r="K108" s="8">
        <f t="shared" si="42"/>
        <v>1244</v>
      </c>
      <c r="L108" s="8">
        <f t="shared" si="41"/>
        <v>1289</v>
      </c>
      <c r="M108" s="8">
        <f t="shared" si="43"/>
        <v>6835</v>
      </c>
    </row>
    <row r="109" spans="1:13">
      <c r="A109" s="4" t="s">
        <v>75</v>
      </c>
      <c r="B109" s="10">
        <f>ROUND($E$9*(1+$E$10)^8,0)</f>
        <v>6</v>
      </c>
      <c r="C109" s="10">
        <f>$E$13+(8*$E$14)</f>
        <v>19</v>
      </c>
      <c r="D109" s="8">
        <f t="shared" si="34"/>
        <v>1734</v>
      </c>
      <c r="E109" s="8">
        <f t="shared" si="35"/>
        <v>893</v>
      </c>
      <c r="F109" s="8">
        <f t="shared" si="36"/>
        <v>2627</v>
      </c>
      <c r="G109" s="8">
        <f t="shared" si="37"/>
        <v>864</v>
      </c>
      <c r="H109" s="8">
        <f t="shared" si="38"/>
        <v>190</v>
      </c>
      <c r="I109" s="8">
        <f t="shared" si="39"/>
        <v>120</v>
      </c>
      <c r="J109" s="8">
        <f t="shared" si="40"/>
        <v>90</v>
      </c>
      <c r="K109" s="8">
        <f t="shared" si="42"/>
        <v>1264</v>
      </c>
      <c r="L109" s="8">
        <f t="shared" si="41"/>
        <v>1363</v>
      </c>
      <c r="M109" s="8">
        <f t="shared" si="43"/>
        <v>8198</v>
      </c>
    </row>
    <row r="110" spans="1:13">
      <c r="A110" s="4" t="s">
        <v>76</v>
      </c>
      <c r="B110" s="10">
        <f>ROUND($E$9*(1+$E$10)^9,0)</f>
        <v>7</v>
      </c>
      <c r="C110" s="10">
        <f>$E$13+(9*$E$14)</f>
        <v>21</v>
      </c>
      <c r="D110" s="8">
        <f t="shared" si="34"/>
        <v>2023</v>
      </c>
      <c r="E110" s="8">
        <f t="shared" si="35"/>
        <v>987</v>
      </c>
      <c r="F110" s="8">
        <f t="shared" si="36"/>
        <v>3010</v>
      </c>
      <c r="G110" s="8">
        <f t="shared" si="37"/>
        <v>1008</v>
      </c>
      <c r="H110" s="8">
        <f t="shared" si="38"/>
        <v>210</v>
      </c>
      <c r="I110" s="8">
        <f t="shared" si="39"/>
        <v>120</v>
      </c>
      <c r="J110" s="8">
        <f t="shared" si="40"/>
        <v>90</v>
      </c>
      <c r="K110" s="8">
        <f t="shared" si="42"/>
        <v>1428</v>
      </c>
      <c r="L110" s="8">
        <f t="shared" si="41"/>
        <v>1582</v>
      </c>
      <c r="M110" s="8">
        <f t="shared" si="43"/>
        <v>9780</v>
      </c>
    </row>
    <row r="111" spans="1:13">
      <c r="A111" s="4" t="s">
        <v>77</v>
      </c>
      <c r="B111" s="10">
        <f>ROUND($E$9*(1+$E$10)^10,0)</f>
        <v>7</v>
      </c>
      <c r="C111" s="10">
        <f>$E$13+(10*$E$14)</f>
        <v>23</v>
      </c>
      <c r="D111" s="8">
        <f t="shared" si="34"/>
        <v>2023</v>
      </c>
      <c r="E111" s="8">
        <f t="shared" si="35"/>
        <v>1081</v>
      </c>
      <c r="F111" s="8">
        <f t="shared" si="36"/>
        <v>3104</v>
      </c>
      <c r="G111" s="8">
        <f t="shared" si="37"/>
        <v>1008</v>
      </c>
      <c r="H111" s="8">
        <f t="shared" si="38"/>
        <v>230</v>
      </c>
      <c r="I111" s="8">
        <f t="shared" si="39"/>
        <v>120</v>
      </c>
      <c r="J111" s="8">
        <f t="shared" si="40"/>
        <v>90</v>
      </c>
      <c r="K111" s="8">
        <f t="shared" si="42"/>
        <v>1448</v>
      </c>
      <c r="L111" s="8">
        <f t="shared" si="41"/>
        <v>1656</v>
      </c>
      <c r="M111" s="8">
        <f t="shared" si="43"/>
        <v>11436</v>
      </c>
    </row>
    <row r="112" spans="1:13">
      <c r="A112" s="4" t="s">
        <v>78</v>
      </c>
      <c r="B112" s="10">
        <f>ROUND($E$9*(1+$E$10)^11,0)</f>
        <v>8</v>
      </c>
      <c r="C112" s="10">
        <f>$E$13+(11*$E$14)</f>
        <v>25</v>
      </c>
      <c r="D112" s="8">
        <f t="shared" si="34"/>
        <v>2312</v>
      </c>
      <c r="E112" s="8">
        <f t="shared" si="35"/>
        <v>1175</v>
      </c>
      <c r="F112" s="8">
        <f t="shared" si="36"/>
        <v>3487</v>
      </c>
      <c r="G112" s="8">
        <f t="shared" si="37"/>
        <v>1152</v>
      </c>
      <c r="H112" s="8">
        <f t="shared" si="38"/>
        <v>250</v>
      </c>
      <c r="I112" s="8">
        <f t="shared" si="39"/>
        <v>120</v>
      </c>
      <c r="J112" s="8">
        <f t="shared" si="40"/>
        <v>90</v>
      </c>
      <c r="K112" s="8">
        <f t="shared" si="42"/>
        <v>1612</v>
      </c>
      <c r="L112" s="8">
        <f t="shared" si="41"/>
        <v>1875</v>
      </c>
      <c r="M112" s="8">
        <f t="shared" si="43"/>
        <v>13311</v>
      </c>
    </row>
    <row r="113" spans="1:13">
      <c r="A113" s="4"/>
      <c r="B113" s="4"/>
      <c r="C113" s="4"/>
      <c r="D113" s="4"/>
      <c r="E113" s="4"/>
      <c r="F113" s="4"/>
      <c r="G113" s="4"/>
      <c r="H113" s="4"/>
      <c r="I113" s="4"/>
      <c r="J113" s="4"/>
      <c r="K113" s="4"/>
      <c r="L113" s="4"/>
      <c r="M113" s="4"/>
    </row>
    <row r="114" spans="1:13" ht="15">
      <c r="A114" s="18" t="s">
        <v>79</v>
      </c>
      <c r="B114" s="19">
        <f>SUM(B101:B112)</f>
        <v>67</v>
      </c>
      <c r="C114" s="18">
        <f>C112</f>
        <v>25</v>
      </c>
      <c r="D114" s="20">
        <f t="shared" ref="D114:L114" si="44">SUM(D101:D112)</f>
        <v>19363</v>
      </c>
      <c r="E114" s="20">
        <f t="shared" si="44"/>
        <v>7896</v>
      </c>
      <c r="F114" s="20">
        <f t="shared" si="44"/>
        <v>27259</v>
      </c>
      <c r="G114" s="20">
        <f t="shared" si="44"/>
        <v>9648</v>
      </c>
      <c r="H114" s="20">
        <f t="shared" si="44"/>
        <v>1680</v>
      </c>
      <c r="I114" s="20">
        <f t="shared" si="44"/>
        <v>1440</v>
      </c>
      <c r="J114" s="20">
        <f t="shared" si="44"/>
        <v>1080</v>
      </c>
      <c r="K114" s="20">
        <f t="shared" si="44"/>
        <v>13948</v>
      </c>
      <c r="L114" s="20">
        <f t="shared" si="44"/>
        <v>13311</v>
      </c>
      <c r="M114" s="20">
        <f>M112</f>
        <v>13311</v>
      </c>
    </row>
    <row r="115" spans="1:13">
      <c r="A115" s="4"/>
      <c r="B115" s="4"/>
      <c r="C115" s="4"/>
      <c r="D115" s="4"/>
      <c r="E115" s="4"/>
      <c r="F115" s="4"/>
      <c r="G115" s="4"/>
      <c r="H115" s="4"/>
      <c r="I115" s="4"/>
      <c r="J115" s="4"/>
      <c r="K115" s="4"/>
      <c r="L115" s="4"/>
      <c r="M115" s="4"/>
    </row>
    <row r="116" spans="1:13" ht="15">
      <c r="A116" s="22" t="s">
        <v>83</v>
      </c>
      <c r="B116" s="22"/>
      <c r="C116" s="22"/>
      <c r="D116" s="22"/>
      <c r="E116" s="22"/>
      <c r="F116" s="22"/>
      <c r="G116" s="22"/>
      <c r="H116" s="22"/>
      <c r="I116" s="22"/>
      <c r="J116" s="22"/>
      <c r="K116" s="22"/>
      <c r="L116" s="22"/>
      <c r="M116" s="22"/>
    </row>
    <row r="117" spans="1:13" ht="30">
      <c r="A117" s="1" t="s">
        <v>54</v>
      </c>
      <c r="B117" s="1" t="s">
        <v>55</v>
      </c>
      <c r="C117" s="1" t="s">
        <v>56</v>
      </c>
      <c r="D117" s="1" t="s">
        <v>57</v>
      </c>
      <c r="E117" s="1" t="s">
        <v>58</v>
      </c>
      <c r="F117" s="1" t="s">
        <v>59</v>
      </c>
      <c r="G117" s="1" t="s">
        <v>60</v>
      </c>
      <c r="H117" s="1" t="s">
        <v>61</v>
      </c>
      <c r="I117" s="1" t="s">
        <v>62</v>
      </c>
      <c r="J117" s="1" t="s">
        <v>63</v>
      </c>
      <c r="K117" s="1" t="s">
        <v>64</v>
      </c>
      <c r="L117" s="1" t="s">
        <v>65</v>
      </c>
      <c r="M117" s="1" t="s">
        <v>66</v>
      </c>
    </row>
    <row r="118" spans="1:13">
      <c r="A118" s="4" t="s">
        <v>67</v>
      </c>
      <c r="B118" s="10">
        <f>ROUND($F$9*(1+$F$10)^0,0)</f>
        <v>5</v>
      </c>
      <c r="C118" s="10">
        <f>$F$13+(0*$F$14)</f>
        <v>5</v>
      </c>
      <c r="D118" s="8">
        <f t="shared" ref="D118:D129" si="45">B118*$F$8</f>
        <v>1495</v>
      </c>
      <c r="E118" s="8">
        <f t="shared" ref="E118:E129" si="46">C118*$F$12</f>
        <v>245</v>
      </c>
      <c r="F118" s="8">
        <f t="shared" ref="F118:F129" si="47">D118+E118</f>
        <v>1740</v>
      </c>
      <c r="G118" s="8">
        <f t="shared" ref="G118:G129" si="48">B118*$F$11</f>
        <v>710</v>
      </c>
      <c r="H118" s="8">
        <f t="shared" ref="H118:H129" si="49">C118*$F$17</f>
        <v>50</v>
      </c>
      <c r="I118" s="8">
        <f t="shared" ref="I118:I129" si="50">$F$15</f>
        <v>150</v>
      </c>
      <c r="J118" s="8">
        <f t="shared" ref="J118:J129" si="51">$F$16</f>
        <v>100</v>
      </c>
      <c r="K118" s="8">
        <f>G118+H118+I118+J118+$F$18</f>
        <v>1110</v>
      </c>
      <c r="L118" s="8">
        <f t="shared" ref="L118:L129" si="52">F118-K118</f>
        <v>630</v>
      </c>
      <c r="M118" s="8">
        <f>L118</f>
        <v>630</v>
      </c>
    </row>
    <row r="119" spans="1:13">
      <c r="A119" s="4" t="s">
        <v>68</v>
      </c>
      <c r="B119" s="10">
        <f>ROUND($F$9*(1+$F$10)^1,0)</f>
        <v>5</v>
      </c>
      <c r="C119" s="10">
        <f>$F$13+(1*$F$14)</f>
        <v>7</v>
      </c>
      <c r="D119" s="8">
        <f t="shared" si="45"/>
        <v>1495</v>
      </c>
      <c r="E119" s="8">
        <f t="shared" si="46"/>
        <v>343</v>
      </c>
      <c r="F119" s="8">
        <f t="shared" si="47"/>
        <v>1838</v>
      </c>
      <c r="G119" s="8">
        <f t="shared" si="48"/>
        <v>710</v>
      </c>
      <c r="H119" s="8">
        <f t="shared" si="49"/>
        <v>70</v>
      </c>
      <c r="I119" s="8">
        <f t="shared" si="50"/>
        <v>150</v>
      </c>
      <c r="J119" s="8">
        <f t="shared" si="51"/>
        <v>100</v>
      </c>
      <c r="K119" s="8">
        <f t="shared" ref="K119:K129" si="53">G119+H119+I119+J119</f>
        <v>1030</v>
      </c>
      <c r="L119" s="8">
        <f t="shared" si="52"/>
        <v>808</v>
      </c>
      <c r="M119" s="8">
        <f t="shared" ref="M119:M129" si="54">M118+L119</f>
        <v>1438</v>
      </c>
    </row>
    <row r="120" spans="1:13">
      <c r="A120" s="4" t="s">
        <v>69</v>
      </c>
      <c r="B120" s="10">
        <f>ROUND($F$9*(1+$F$10)^2,0)</f>
        <v>6</v>
      </c>
      <c r="C120" s="10">
        <f>$F$13+(2*$F$14)</f>
        <v>9</v>
      </c>
      <c r="D120" s="8">
        <f t="shared" si="45"/>
        <v>1794</v>
      </c>
      <c r="E120" s="8">
        <f t="shared" si="46"/>
        <v>441</v>
      </c>
      <c r="F120" s="8">
        <f t="shared" si="47"/>
        <v>2235</v>
      </c>
      <c r="G120" s="8">
        <f t="shared" si="48"/>
        <v>852</v>
      </c>
      <c r="H120" s="8">
        <f t="shared" si="49"/>
        <v>90</v>
      </c>
      <c r="I120" s="8">
        <f t="shared" si="50"/>
        <v>150</v>
      </c>
      <c r="J120" s="8">
        <f t="shared" si="51"/>
        <v>100</v>
      </c>
      <c r="K120" s="8">
        <f t="shared" si="53"/>
        <v>1192</v>
      </c>
      <c r="L120" s="8">
        <f t="shared" si="52"/>
        <v>1043</v>
      </c>
      <c r="M120" s="8">
        <f t="shared" si="54"/>
        <v>2481</v>
      </c>
    </row>
    <row r="121" spans="1:13">
      <c r="A121" s="4" t="s">
        <v>70</v>
      </c>
      <c r="B121" s="10">
        <f>ROUND($F$9*(1+$F$10)^3,0)</f>
        <v>6</v>
      </c>
      <c r="C121" s="10">
        <f>$F$13+(3*$F$14)</f>
        <v>11</v>
      </c>
      <c r="D121" s="8">
        <f t="shared" si="45"/>
        <v>1794</v>
      </c>
      <c r="E121" s="8">
        <f t="shared" si="46"/>
        <v>539</v>
      </c>
      <c r="F121" s="8">
        <f t="shared" si="47"/>
        <v>2333</v>
      </c>
      <c r="G121" s="8">
        <f t="shared" si="48"/>
        <v>852</v>
      </c>
      <c r="H121" s="8">
        <f t="shared" si="49"/>
        <v>110</v>
      </c>
      <c r="I121" s="8">
        <f t="shared" si="50"/>
        <v>150</v>
      </c>
      <c r="J121" s="8">
        <f t="shared" si="51"/>
        <v>100</v>
      </c>
      <c r="K121" s="8">
        <f t="shared" si="53"/>
        <v>1212</v>
      </c>
      <c r="L121" s="8">
        <f t="shared" si="52"/>
        <v>1121</v>
      </c>
      <c r="M121" s="8">
        <f t="shared" si="54"/>
        <v>3602</v>
      </c>
    </row>
    <row r="122" spans="1:13">
      <c r="A122" s="4" t="s">
        <v>71</v>
      </c>
      <c r="B122" s="10">
        <f>ROUND($F$9*(1+$F$10)^4,0)</f>
        <v>7</v>
      </c>
      <c r="C122" s="10">
        <f>$F$13+(4*$F$14)</f>
        <v>13</v>
      </c>
      <c r="D122" s="8">
        <f t="shared" si="45"/>
        <v>2093</v>
      </c>
      <c r="E122" s="8">
        <f t="shared" si="46"/>
        <v>637</v>
      </c>
      <c r="F122" s="8">
        <f t="shared" si="47"/>
        <v>2730</v>
      </c>
      <c r="G122" s="8">
        <f t="shared" si="48"/>
        <v>994</v>
      </c>
      <c r="H122" s="8">
        <f t="shared" si="49"/>
        <v>130</v>
      </c>
      <c r="I122" s="8">
        <f t="shared" si="50"/>
        <v>150</v>
      </c>
      <c r="J122" s="8">
        <f t="shared" si="51"/>
        <v>100</v>
      </c>
      <c r="K122" s="8">
        <f t="shared" si="53"/>
        <v>1374</v>
      </c>
      <c r="L122" s="8">
        <f t="shared" si="52"/>
        <v>1356</v>
      </c>
      <c r="M122" s="8">
        <f t="shared" si="54"/>
        <v>4958</v>
      </c>
    </row>
    <row r="123" spans="1:13">
      <c r="A123" s="4" t="s">
        <v>72</v>
      </c>
      <c r="B123" s="10">
        <f>ROUND($F$9*(1+$F$10)^5,0)</f>
        <v>7</v>
      </c>
      <c r="C123" s="10">
        <f>$F$13+(5*$F$14)</f>
        <v>15</v>
      </c>
      <c r="D123" s="8">
        <f t="shared" si="45"/>
        <v>2093</v>
      </c>
      <c r="E123" s="8">
        <f t="shared" si="46"/>
        <v>735</v>
      </c>
      <c r="F123" s="8">
        <f t="shared" si="47"/>
        <v>2828</v>
      </c>
      <c r="G123" s="8">
        <f t="shared" si="48"/>
        <v>994</v>
      </c>
      <c r="H123" s="8">
        <f t="shared" si="49"/>
        <v>150</v>
      </c>
      <c r="I123" s="8">
        <f t="shared" si="50"/>
        <v>150</v>
      </c>
      <c r="J123" s="8">
        <f t="shared" si="51"/>
        <v>100</v>
      </c>
      <c r="K123" s="8">
        <f t="shared" si="53"/>
        <v>1394</v>
      </c>
      <c r="L123" s="8">
        <f t="shared" si="52"/>
        <v>1434</v>
      </c>
      <c r="M123" s="8">
        <f t="shared" si="54"/>
        <v>6392</v>
      </c>
    </row>
    <row r="124" spans="1:13">
      <c r="A124" s="4" t="s">
        <v>73</v>
      </c>
      <c r="B124" s="10">
        <f>ROUND($F$9*(1+$F$10)^6,0)</f>
        <v>8</v>
      </c>
      <c r="C124" s="10">
        <f>$F$13+(6*$F$14)</f>
        <v>17</v>
      </c>
      <c r="D124" s="8">
        <f t="shared" si="45"/>
        <v>2392</v>
      </c>
      <c r="E124" s="8">
        <f t="shared" si="46"/>
        <v>833</v>
      </c>
      <c r="F124" s="8">
        <f t="shared" si="47"/>
        <v>3225</v>
      </c>
      <c r="G124" s="8">
        <f t="shared" si="48"/>
        <v>1136</v>
      </c>
      <c r="H124" s="8">
        <f t="shared" si="49"/>
        <v>170</v>
      </c>
      <c r="I124" s="8">
        <f t="shared" si="50"/>
        <v>150</v>
      </c>
      <c r="J124" s="8">
        <f t="shared" si="51"/>
        <v>100</v>
      </c>
      <c r="K124" s="8">
        <f t="shared" si="53"/>
        <v>1556</v>
      </c>
      <c r="L124" s="8">
        <f t="shared" si="52"/>
        <v>1669</v>
      </c>
      <c r="M124" s="8">
        <f t="shared" si="54"/>
        <v>8061</v>
      </c>
    </row>
    <row r="125" spans="1:13">
      <c r="A125" s="4" t="s">
        <v>74</v>
      </c>
      <c r="B125" s="10">
        <f>ROUND($F$9*(1+$F$10)^7,0)</f>
        <v>9</v>
      </c>
      <c r="C125" s="10">
        <f>$F$13+(7*$F$14)</f>
        <v>19</v>
      </c>
      <c r="D125" s="8">
        <f t="shared" si="45"/>
        <v>2691</v>
      </c>
      <c r="E125" s="8">
        <f t="shared" si="46"/>
        <v>931</v>
      </c>
      <c r="F125" s="8">
        <f t="shared" si="47"/>
        <v>3622</v>
      </c>
      <c r="G125" s="8">
        <f t="shared" si="48"/>
        <v>1278</v>
      </c>
      <c r="H125" s="8">
        <f t="shared" si="49"/>
        <v>190</v>
      </c>
      <c r="I125" s="8">
        <f t="shared" si="50"/>
        <v>150</v>
      </c>
      <c r="J125" s="8">
        <f t="shared" si="51"/>
        <v>100</v>
      </c>
      <c r="K125" s="8">
        <f t="shared" si="53"/>
        <v>1718</v>
      </c>
      <c r="L125" s="8">
        <f t="shared" si="52"/>
        <v>1904</v>
      </c>
      <c r="M125" s="8">
        <f t="shared" si="54"/>
        <v>9965</v>
      </c>
    </row>
    <row r="126" spans="1:13">
      <c r="A126" s="4" t="s">
        <v>75</v>
      </c>
      <c r="B126" s="10">
        <f>ROUND($F$9*(1+$F$10)^8,0)</f>
        <v>9</v>
      </c>
      <c r="C126" s="10">
        <f>$F$13+(8*$F$14)</f>
        <v>21</v>
      </c>
      <c r="D126" s="8">
        <f t="shared" si="45"/>
        <v>2691</v>
      </c>
      <c r="E126" s="8">
        <f t="shared" si="46"/>
        <v>1029</v>
      </c>
      <c r="F126" s="8">
        <f t="shared" si="47"/>
        <v>3720</v>
      </c>
      <c r="G126" s="8">
        <f t="shared" si="48"/>
        <v>1278</v>
      </c>
      <c r="H126" s="8">
        <f t="shared" si="49"/>
        <v>210</v>
      </c>
      <c r="I126" s="8">
        <f t="shared" si="50"/>
        <v>150</v>
      </c>
      <c r="J126" s="8">
        <f t="shared" si="51"/>
        <v>100</v>
      </c>
      <c r="K126" s="8">
        <f t="shared" si="53"/>
        <v>1738</v>
      </c>
      <c r="L126" s="8">
        <f t="shared" si="52"/>
        <v>1982</v>
      </c>
      <c r="M126" s="8">
        <f t="shared" si="54"/>
        <v>11947</v>
      </c>
    </row>
    <row r="127" spans="1:13">
      <c r="A127" s="4" t="s">
        <v>76</v>
      </c>
      <c r="B127" s="10">
        <f>ROUND($F$9*(1+$F$10)^9,0)</f>
        <v>10</v>
      </c>
      <c r="C127" s="10">
        <f>$F$13+(9*$F$14)</f>
        <v>23</v>
      </c>
      <c r="D127" s="8">
        <f t="shared" si="45"/>
        <v>2990</v>
      </c>
      <c r="E127" s="8">
        <f t="shared" si="46"/>
        <v>1127</v>
      </c>
      <c r="F127" s="8">
        <f t="shared" si="47"/>
        <v>4117</v>
      </c>
      <c r="G127" s="8">
        <f t="shared" si="48"/>
        <v>1420</v>
      </c>
      <c r="H127" s="8">
        <f t="shared" si="49"/>
        <v>230</v>
      </c>
      <c r="I127" s="8">
        <f t="shared" si="50"/>
        <v>150</v>
      </c>
      <c r="J127" s="8">
        <f t="shared" si="51"/>
        <v>100</v>
      </c>
      <c r="K127" s="8">
        <f t="shared" si="53"/>
        <v>1900</v>
      </c>
      <c r="L127" s="8">
        <f t="shared" si="52"/>
        <v>2217</v>
      </c>
      <c r="M127" s="8">
        <f t="shared" si="54"/>
        <v>14164</v>
      </c>
    </row>
    <row r="128" spans="1:13">
      <c r="A128" s="4" t="s">
        <v>77</v>
      </c>
      <c r="B128" s="10">
        <f>ROUND($F$9*(1+$F$10)^10,0)</f>
        <v>11</v>
      </c>
      <c r="C128" s="10">
        <f>$F$13+(10*$F$14)</f>
        <v>25</v>
      </c>
      <c r="D128" s="8">
        <f t="shared" si="45"/>
        <v>3289</v>
      </c>
      <c r="E128" s="8">
        <f t="shared" si="46"/>
        <v>1225</v>
      </c>
      <c r="F128" s="8">
        <f t="shared" si="47"/>
        <v>4514</v>
      </c>
      <c r="G128" s="8">
        <f t="shared" si="48"/>
        <v>1562</v>
      </c>
      <c r="H128" s="8">
        <f t="shared" si="49"/>
        <v>250</v>
      </c>
      <c r="I128" s="8">
        <f t="shared" si="50"/>
        <v>150</v>
      </c>
      <c r="J128" s="8">
        <f t="shared" si="51"/>
        <v>100</v>
      </c>
      <c r="K128" s="8">
        <f t="shared" si="53"/>
        <v>2062</v>
      </c>
      <c r="L128" s="8">
        <f t="shared" si="52"/>
        <v>2452</v>
      </c>
      <c r="M128" s="8">
        <f t="shared" si="54"/>
        <v>16616</v>
      </c>
    </row>
    <row r="129" spans="1:13">
      <c r="A129" s="4" t="s">
        <v>78</v>
      </c>
      <c r="B129" s="10">
        <f>ROUND($F$9*(1+$F$10)^11,0)</f>
        <v>12</v>
      </c>
      <c r="C129" s="10">
        <f>$F$13+(11*$F$14)</f>
        <v>27</v>
      </c>
      <c r="D129" s="8">
        <f t="shared" si="45"/>
        <v>3588</v>
      </c>
      <c r="E129" s="8">
        <f t="shared" si="46"/>
        <v>1323</v>
      </c>
      <c r="F129" s="8">
        <f t="shared" si="47"/>
        <v>4911</v>
      </c>
      <c r="G129" s="8">
        <f t="shared" si="48"/>
        <v>1704</v>
      </c>
      <c r="H129" s="8">
        <f t="shared" si="49"/>
        <v>270</v>
      </c>
      <c r="I129" s="8">
        <f t="shared" si="50"/>
        <v>150</v>
      </c>
      <c r="J129" s="8">
        <f t="shared" si="51"/>
        <v>100</v>
      </c>
      <c r="K129" s="8">
        <f t="shared" si="53"/>
        <v>2224</v>
      </c>
      <c r="L129" s="8">
        <f t="shared" si="52"/>
        <v>2687</v>
      </c>
      <c r="M129" s="8">
        <f t="shared" si="54"/>
        <v>19303</v>
      </c>
    </row>
    <row r="130" spans="1:13">
      <c r="A130" s="4"/>
      <c r="B130" s="4"/>
      <c r="C130" s="4"/>
      <c r="D130" s="4"/>
      <c r="E130" s="4"/>
      <c r="F130" s="4"/>
      <c r="G130" s="4"/>
      <c r="H130" s="4"/>
      <c r="I130" s="4"/>
      <c r="J130" s="4"/>
      <c r="K130" s="4"/>
      <c r="L130" s="4"/>
      <c r="M130" s="4"/>
    </row>
    <row r="131" spans="1:13" ht="15">
      <c r="A131" s="18" t="s">
        <v>79</v>
      </c>
      <c r="B131" s="19">
        <f>SUM(B118:B129)</f>
        <v>95</v>
      </c>
      <c r="C131" s="18">
        <f>C129</f>
        <v>27</v>
      </c>
      <c r="D131" s="20">
        <f t="shared" ref="D131:L131" si="55">SUM(D118:D129)</f>
        <v>28405</v>
      </c>
      <c r="E131" s="20">
        <f t="shared" si="55"/>
        <v>9408</v>
      </c>
      <c r="F131" s="20">
        <f t="shared" si="55"/>
        <v>37813</v>
      </c>
      <c r="G131" s="20">
        <f t="shared" si="55"/>
        <v>13490</v>
      </c>
      <c r="H131" s="20">
        <f t="shared" si="55"/>
        <v>1920</v>
      </c>
      <c r="I131" s="20">
        <f t="shared" si="55"/>
        <v>1800</v>
      </c>
      <c r="J131" s="20">
        <f t="shared" si="55"/>
        <v>1200</v>
      </c>
      <c r="K131" s="20">
        <f t="shared" si="55"/>
        <v>18510</v>
      </c>
      <c r="L131" s="20">
        <f t="shared" si="55"/>
        <v>19303</v>
      </c>
      <c r="M131" s="20">
        <f>M129</f>
        <v>19303</v>
      </c>
    </row>
    <row r="132" spans="1:13">
      <c r="A132" s="4"/>
      <c r="B132" s="4"/>
      <c r="C132" s="4"/>
      <c r="D132" s="4"/>
      <c r="E132" s="4"/>
      <c r="F132" s="4"/>
      <c r="G132" s="4"/>
      <c r="H132" s="4"/>
      <c r="I132" s="4"/>
      <c r="J132" s="4"/>
      <c r="K132" s="4"/>
      <c r="L132" s="4"/>
      <c r="M132" s="4"/>
    </row>
    <row r="133" spans="1:13" ht="15">
      <c r="A133" s="22" t="s">
        <v>84</v>
      </c>
      <c r="B133" s="22"/>
      <c r="C133" s="22"/>
      <c r="D133" s="22"/>
      <c r="E133" s="22"/>
      <c r="F133" s="22"/>
      <c r="G133" s="22"/>
      <c r="H133" s="22"/>
      <c r="I133" s="22"/>
      <c r="J133" s="22"/>
      <c r="K133" s="22"/>
      <c r="L133" s="22"/>
      <c r="M133" s="22"/>
    </row>
    <row r="134" spans="1:13">
      <c r="A134" s="25" t="s">
        <v>85</v>
      </c>
      <c r="B134" s="25"/>
      <c r="C134" s="25"/>
      <c r="D134" s="25"/>
      <c r="E134" s="25"/>
      <c r="F134" s="25"/>
      <c r="G134" s="25"/>
      <c r="H134" s="25"/>
      <c r="I134" s="25"/>
      <c r="J134" s="25"/>
      <c r="K134" s="25"/>
      <c r="L134" s="25"/>
      <c r="M134" s="25"/>
    </row>
    <row r="135" spans="1:13">
      <c r="A135" s="25"/>
      <c r="B135" s="25"/>
      <c r="C135" s="25"/>
      <c r="D135" s="25"/>
      <c r="E135" s="25"/>
      <c r="F135" s="25"/>
      <c r="G135" s="25"/>
      <c r="H135" s="25"/>
      <c r="I135" s="25"/>
      <c r="J135" s="25"/>
      <c r="K135" s="25"/>
      <c r="L135" s="25"/>
      <c r="M135" s="25"/>
    </row>
    <row r="136" spans="1:13">
      <c r="A136" s="25"/>
      <c r="B136" s="25"/>
      <c r="C136" s="25"/>
      <c r="D136" s="25"/>
      <c r="E136" s="25"/>
      <c r="F136" s="25"/>
      <c r="G136" s="25"/>
      <c r="H136" s="25"/>
      <c r="I136" s="25"/>
      <c r="J136" s="25"/>
      <c r="K136" s="25"/>
      <c r="L136" s="25"/>
      <c r="M136" s="25"/>
    </row>
    <row r="137" spans="1:13">
      <c r="A137" s="25"/>
      <c r="B137" s="25"/>
      <c r="C137" s="25"/>
      <c r="D137" s="25"/>
      <c r="E137" s="25"/>
      <c r="F137" s="25"/>
      <c r="G137" s="25"/>
      <c r="H137" s="25"/>
      <c r="I137" s="25"/>
      <c r="J137" s="25"/>
      <c r="K137" s="25"/>
      <c r="L137" s="25"/>
      <c r="M137" s="25"/>
    </row>
    <row r="138" spans="1:13">
      <c r="A138" s="25"/>
      <c r="B138" s="25"/>
      <c r="C138" s="25"/>
      <c r="D138" s="25"/>
      <c r="E138" s="25"/>
      <c r="F138" s="25"/>
      <c r="G138" s="25"/>
      <c r="H138" s="25"/>
      <c r="I138" s="25"/>
      <c r="J138" s="25"/>
      <c r="K138" s="25"/>
      <c r="L138" s="25"/>
      <c r="M138" s="25"/>
    </row>
  </sheetData>
  <mergeCells count="17">
    <mergeCell ref="A116:M116"/>
    <mergeCell ref="A133:M133"/>
    <mergeCell ref="A134:M138"/>
    <mergeCell ref="A38:M38"/>
    <mergeCell ref="A48:M48"/>
    <mergeCell ref="A65:M65"/>
    <mergeCell ref="A82:M82"/>
    <mergeCell ref="A99:M99"/>
    <mergeCell ref="I11:M13"/>
    <mergeCell ref="I14:M16"/>
    <mergeCell ref="I17:M18"/>
    <mergeCell ref="A20:M20"/>
    <mergeCell ref="A29:M29"/>
    <mergeCell ref="A1:M1"/>
    <mergeCell ref="A6:M6"/>
    <mergeCell ref="I7:M7"/>
    <mergeCell ref="I8:M10"/>
  </mergeCells>
  <conditionalFormatting sqref="B40:F45">
    <cfRule type="colorScale" priority="3">
      <colorScale>
        <cfvo type="min"/>
        <cfvo type="percentile" val="50"/>
        <cfvo type="max"/>
        <color rgb="FFF4CCCC"/>
        <color rgb="FFFFF2CC"/>
        <color rgb="FFD9EAD3"/>
      </colorScale>
    </cfRule>
  </conditionalFormatting>
  <conditionalFormatting sqref="D22:D26">
    <cfRule type="expression" dxfId="11" priority="1">
      <formula>D22&lt;0</formula>
    </cfRule>
    <cfRule type="expression" dxfId="10" priority="2">
      <formula>D22&gt;0</formula>
    </cfRule>
  </conditionalFormatting>
  <conditionalFormatting sqref="L50:M61">
    <cfRule type="expression" dxfId="9" priority="4">
      <formula>L50&lt;0</formula>
    </cfRule>
    <cfRule type="expression" dxfId="8" priority="5">
      <formula>L50&gt;0</formula>
    </cfRule>
  </conditionalFormatting>
  <conditionalFormatting sqref="L67:M78">
    <cfRule type="expression" dxfId="7" priority="6">
      <formula>L67&lt;0</formula>
    </cfRule>
    <cfRule type="expression" dxfId="6" priority="7">
      <formula>L67&gt;0</formula>
    </cfRule>
  </conditionalFormatting>
  <conditionalFormatting sqref="L84:M95">
    <cfRule type="expression" dxfId="5" priority="8">
      <formula>L84&lt;0</formula>
    </cfRule>
    <cfRule type="expression" dxfId="4" priority="9">
      <formula>L84&gt;0</formula>
    </cfRule>
  </conditionalFormatting>
  <conditionalFormatting sqref="L101:M112">
    <cfRule type="expression" dxfId="3" priority="10">
      <formula>L101&lt;0</formula>
    </cfRule>
    <cfRule type="expression" dxfId="2" priority="11">
      <formula>L101&gt;0</formula>
    </cfRule>
  </conditionalFormatting>
  <conditionalFormatting sqref="L118:M129">
    <cfRule type="expression" dxfId="1" priority="12">
      <formula>L118&lt;0</formula>
    </cfRule>
    <cfRule type="expression" dxfId="0" priority="13">
      <formula>L118&gt;0</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SmartBiz Financial Model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Shahzaib Asim</cp:lastModifiedBy>
  <dcterms:modified xsi:type="dcterms:W3CDTF">2026-09-25T22:56:09Z</dcterms:modified>
</cp:coreProperties>
</file>